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D:\S\Vortrag\_immer\"/>
    </mc:Choice>
  </mc:AlternateContent>
  <xr:revisionPtr revIDLastSave="0" documentId="13_ncr:1_{A461CEAC-167A-4EEF-898C-955F544A75B6}" xr6:coauthVersionLast="47" xr6:coauthVersionMax="47" xr10:uidLastSave="{00000000-0000-0000-0000-000000000000}"/>
  <workbookProtection workbookAlgorithmName="SHA-512" workbookHashValue="SNDCEWbl8TPVl9gswmTsG65QLM8FuNlBLmvpzK69WUUb++9tzK7zIgU152ZzD+hwxBcZHW+MiWLE+pSuMnXZXQ==" workbookSaltValue="C3wxe8UuiRxJJC7DTBzd2A==" workbookSpinCount="100000" lockStructure="1"/>
  <bookViews>
    <workbookView xWindow="930" yWindow="-120" windowWidth="37590" windowHeight="21840" tabRatio="500" xr2:uid="{00000000-000D-0000-FFFF-FFFF00000000}"/>
  </bookViews>
  <sheets>
    <sheet name="Hinweise" sheetId="4" r:id="rId1"/>
    <sheet name="Eingabe" sheetId="2" r:id="rId2"/>
    <sheet name="Daten" sheetId="3" r:id="rId3"/>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29" i="3" l="1"/>
  <c r="A130" i="3" l="1"/>
  <c r="D148" i="3" l="1"/>
  <c r="C31" i="3"/>
  <c r="D147" i="3"/>
  <c r="D22" i="3"/>
  <c r="C22" i="3" s="1"/>
  <c r="E58" i="2" l="1"/>
  <c r="A151" i="3"/>
  <c r="A142" i="3"/>
  <c r="A141" i="3"/>
  <c r="A140" i="3"/>
  <c r="A139" i="3"/>
  <c r="A135" i="3"/>
  <c r="A134" i="3"/>
  <c r="A133" i="3"/>
  <c r="A129" i="3"/>
  <c r="A119" i="3"/>
  <c r="A118" i="3"/>
  <c r="A66" i="3"/>
  <c r="A65" i="3"/>
  <c r="A64" i="3"/>
  <c r="A55" i="3"/>
  <c r="A54" i="3"/>
  <c r="A52" i="3"/>
  <c r="A51" i="3"/>
  <c r="A48" i="3"/>
  <c r="A45" i="3"/>
  <c r="A44" i="3"/>
  <c r="A43" i="3"/>
  <c r="A42" i="3"/>
  <c r="A41" i="3"/>
  <c r="A40" i="3"/>
  <c r="A38" i="3"/>
  <c r="A36" i="3"/>
  <c r="A35" i="3"/>
  <c r="A34" i="3"/>
  <c r="A33" i="3"/>
  <c r="A32" i="3"/>
  <c r="A30" i="3"/>
  <c r="A29" i="3"/>
  <c r="A28" i="3"/>
  <c r="A27" i="3"/>
  <c r="A25" i="3"/>
  <c r="A20" i="3"/>
  <c r="A19" i="3"/>
  <c r="A16" i="3"/>
  <c r="A15" i="3"/>
  <c r="A12" i="3"/>
  <c r="A11" i="3"/>
  <c r="A10" i="3"/>
  <c r="B104" i="2"/>
  <c r="B90" i="2"/>
  <c r="B84" i="2"/>
  <c r="A81" i="2"/>
  <c r="C80" i="2"/>
  <c r="A80" i="2"/>
  <c r="A79" i="2"/>
  <c r="A78" i="2"/>
  <c r="A77" i="2"/>
  <c r="C76" i="2"/>
  <c r="A76" i="2"/>
  <c r="A75" i="2"/>
  <c r="A74" i="2"/>
  <c r="B73" i="2"/>
  <c r="A70" i="2"/>
  <c r="A69" i="2"/>
  <c r="A68" i="2"/>
  <c r="A67" i="2"/>
  <c r="A66" i="2"/>
  <c r="B65" i="2"/>
  <c r="A62" i="2"/>
  <c r="A61" i="2"/>
  <c r="A60" i="2"/>
  <c r="A57" i="2"/>
  <c r="A56" i="2"/>
  <c r="A55" i="2"/>
  <c r="A54" i="2"/>
  <c r="B53" i="2"/>
  <c r="C35" i="2"/>
  <c r="B31" i="2"/>
  <c r="B20" i="2"/>
  <c r="C13" i="2"/>
  <c r="C15" i="2" s="1"/>
  <c r="H87" i="2" l="1"/>
  <c r="H85" i="2"/>
  <c r="H96" i="2"/>
  <c r="I96" i="2" s="1"/>
  <c r="G37" i="2"/>
  <c r="H37" i="2" s="1"/>
  <c r="H92" i="2"/>
  <c r="G28" i="2"/>
  <c r="H107" i="2"/>
  <c r="G107" i="2" s="1"/>
  <c r="H106" i="2"/>
  <c r="J106" i="2" s="1"/>
  <c r="E68" i="2" a="1"/>
  <c r="E68" i="2" s="1"/>
  <c r="G68" i="2" s="1"/>
  <c r="H68" i="2" s="1"/>
  <c r="E67" i="2" a="1"/>
  <c r="E67" i="2" s="1"/>
  <c r="G67" i="2" s="1"/>
  <c r="H67" i="2" s="1"/>
  <c r="G41" i="2"/>
  <c r="H41" i="2" s="1"/>
  <c r="G21" i="2"/>
  <c r="H54" i="2"/>
  <c r="I67" i="2" s="1"/>
  <c r="H74" i="2"/>
  <c r="G26" i="2"/>
  <c r="I26" i="2" s="1"/>
  <c r="J26" i="2" s="1"/>
  <c r="H108" i="2"/>
  <c r="I108" i="2" s="1"/>
  <c r="G38" i="2"/>
  <c r="H38" i="2" s="1"/>
  <c r="G47" i="2"/>
  <c r="H47" i="2" s="1"/>
  <c r="I47" i="2" s="1"/>
  <c r="H62" i="2"/>
  <c r="G62" i="2" s="1"/>
  <c r="G27" i="2"/>
  <c r="G34" i="2"/>
  <c r="H34" i="2" s="1"/>
  <c r="G42" i="2"/>
  <c r="H42" i="2" s="1"/>
  <c r="H61" i="2"/>
  <c r="G61" i="2" s="1"/>
  <c r="H99" i="2"/>
  <c r="G35" i="2"/>
  <c r="H35" i="2" s="1"/>
  <c r="G39" i="2"/>
  <c r="H39" i="2" s="1"/>
  <c r="G43" i="2"/>
  <c r="H43" i="2" s="1"/>
  <c r="G48" i="2"/>
  <c r="H48" i="2" s="1"/>
  <c r="I48" i="2" s="1"/>
  <c r="H55" i="2"/>
  <c r="H100" i="2"/>
  <c r="G22" i="2"/>
  <c r="E66" i="2"/>
  <c r="G66" i="2" s="1"/>
  <c r="H66" i="2" s="1"/>
  <c r="H93" i="2"/>
  <c r="I93" i="2" s="1"/>
  <c r="G32" i="2"/>
  <c r="H32" i="2" s="1"/>
  <c r="G40" i="2"/>
  <c r="H40" i="2" s="1"/>
  <c r="E69" i="2"/>
  <c r="G69" i="2" s="1"/>
  <c r="H69" i="2" s="1"/>
  <c r="H57" i="2"/>
  <c r="G57" i="2" s="1"/>
  <c r="H95" i="2"/>
  <c r="H58" i="2"/>
  <c r="G58" i="2" s="1"/>
  <c r="H78" i="2"/>
  <c r="G45" i="2"/>
  <c r="H45" i="2" s="1"/>
  <c r="E70" i="2"/>
  <c r="G70" i="2" s="1"/>
  <c r="H70" i="2" s="1"/>
  <c r="H98" i="2"/>
  <c r="H24" i="2"/>
  <c r="H91" i="2"/>
  <c r="I91" i="2" s="1"/>
  <c r="I92" i="2" s="1"/>
  <c r="H56" i="2"/>
  <c r="G56" i="2" s="1"/>
  <c r="H94" i="2"/>
  <c r="I94" i="2" s="1"/>
  <c r="G36" i="2"/>
  <c r="H36" i="2" s="1"/>
  <c r="G44" i="2"/>
  <c r="H44" i="2" s="1"/>
  <c r="G49" i="2"/>
  <c r="H49" i="2" s="1"/>
  <c r="I49" i="2" s="1"/>
  <c r="H101" i="2"/>
  <c r="G23" i="2"/>
  <c r="G33" i="2"/>
  <c r="H33" i="2" s="1"/>
  <c r="J33" i="2" s="1"/>
  <c r="G50" i="2"/>
  <c r="H50" i="2" s="1"/>
  <c r="I50" i="2" s="1"/>
  <c r="H59" i="2"/>
  <c r="G59" i="2" s="1"/>
  <c r="H105" i="2"/>
  <c r="I105" i="2" s="1"/>
  <c r="H25" i="2"/>
  <c r="G46" i="2"/>
  <c r="H46" i="2" s="1"/>
  <c r="H60" i="2"/>
  <c r="G60" i="2" s="1"/>
  <c r="I43" i="2" l="1"/>
  <c r="J43" i="2" s="1"/>
  <c r="I44" i="2"/>
  <c r="J44" i="2" s="1"/>
  <c r="J36" i="2"/>
  <c r="I36" i="2" s="1"/>
  <c r="I41" i="2"/>
  <c r="J41" i="2" s="1"/>
  <c r="J32" i="2"/>
  <c r="I32" i="2"/>
  <c r="I42" i="2"/>
  <c r="J42" i="2" s="1"/>
  <c r="J87" i="2"/>
  <c r="G87" i="2"/>
  <c r="G92" i="2"/>
  <c r="J92" i="2"/>
  <c r="G96" i="2"/>
  <c r="I28" i="2"/>
  <c r="J28" i="2" s="1"/>
  <c r="H28" i="2"/>
  <c r="I27" i="2"/>
  <c r="J27" i="2" s="1"/>
  <c r="J107" i="2"/>
  <c r="I107" i="2" s="1"/>
  <c r="I70" i="2"/>
  <c r="J70" i="2" s="1"/>
  <c r="I69" i="2"/>
  <c r="J69" i="2" s="1"/>
  <c r="I68" i="2"/>
  <c r="J68" i="2" s="1"/>
  <c r="H81" i="2"/>
  <c r="G81" i="2" s="1"/>
  <c r="H80" i="2"/>
  <c r="G80" i="2" s="1"/>
  <c r="H77" i="2"/>
  <c r="G77" i="2" s="1"/>
  <c r="I54" i="2"/>
  <c r="J54" i="2" s="1"/>
  <c r="I55" i="2"/>
  <c r="J55" i="2" s="1"/>
  <c r="I79" i="2"/>
  <c r="I77" i="2"/>
  <c r="I76" i="2"/>
  <c r="I75" i="2"/>
  <c r="I61" i="2"/>
  <c r="J61" i="2" s="1"/>
  <c r="I60" i="2"/>
  <c r="J60" i="2" s="1"/>
  <c r="I66" i="2"/>
  <c r="J66" i="2" s="1"/>
  <c r="I62" i="2"/>
  <c r="J62" i="2" s="1"/>
  <c r="I58" i="2"/>
  <c r="J58" i="2" s="1"/>
  <c r="I23" i="2"/>
  <c r="J23" i="2" s="1"/>
  <c r="I21" i="2"/>
  <c r="J21" i="2" s="1"/>
  <c r="I22" i="2"/>
  <c r="J22" i="2" s="1"/>
  <c r="I57" i="2"/>
  <c r="J57" i="2" s="1"/>
  <c r="I80" i="2"/>
  <c r="I56" i="2"/>
  <c r="J56" i="2" s="1"/>
  <c r="I59" i="2"/>
  <c r="J59" i="2" s="1"/>
  <c r="I101" i="2"/>
  <c r="J101" i="2" s="1"/>
  <c r="I100" i="2"/>
  <c r="J100" i="2" s="1"/>
  <c r="I99" i="2"/>
  <c r="J99" i="2" s="1"/>
  <c r="I98" i="2"/>
  <c r="J98" i="2" s="1"/>
  <c r="I81" i="2"/>
  <c r="G54" i="2"/>
  <c r="H75" i="2"/>
  <c r="G75" i="2" s="1"/>
  <c r="G108" i="2"/>
  <c r="G94" i="2"/>
  <c r="J67" i="2"/>
  <c r="G93" i="2"/>
  <c r="G78" i="2"/>
  <c r="J78" i="2"/>
  <c r="H26" i="2"/>
  <c r="G101" i="2"/>
  <c r="G105" i="2"/>
  <c r="J74" i="2"/>
  <c r="G74" i="2"/>
  <c r="H21" i="2"/>
  <c r="G98" i="2"/>
  <c r="H27" i="2"/>
  <c r="H22" i="2"/>
  <c r="G100" i="2"/>
  <c r="J37" i="2"/>
  <c r="I37" i="2" s="1"/>
  <c r="J38" i="2"/>
  <c r="I38" i="2" s="1"/>
  <c r="J50" i="2"/>
  <c r="H23" i="2"/>
  <c r="J39" i="2"/>
  <c r="I39" i="2" s="1"/>
  <c r="G91" i="2"/>
  <c r="J35" i="2"/>
  <c r="I35" i="2" s="1"/>
  <c r="J49" i="2"/>
  <c r="G85" i="2"/>
  <c r="J85" i="2"/>
  <c r="G55" i="2"/>
  <c r="I106" i="2"/>
  <c r="J40" i="2"/>
  <c r="I40" i="2" s="1"/>
  <c r="J47" i="2"/>
  <c r="H76" i="2"/>
  <c r="G76" i="2" s="1"/>
  <c r="J48" i="2"/>
  <c r="G95" i="2"/>
  <c r="I95" i="2"/>
  <c r="G99" i="2"/>
  <c r="H79" i="2"/>
  <c r="G79" i="2" s="1"/>
  <c r="G106" i="2"/>
  <c r="J34" i="2"/>
  <c r="I34" i="2" s="1"/>
  <c r="J80" i="2" l="1"/>
  <c r="J81" i="2"/>
  <c r="J75" i="2"/>
  <c r="J77" i="2"/>
  <c r="J79" i="2"/>
  <c r="J7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ao</author>
    <author/>
    <author>mk</author>
  </authors>
  <commentList>
    <comment ref="B6" authorId="0" shapeId="0" xr:uid="{B4539CF1-A95D-47F2-8E9C-6B97D610E7AC}">
      <text>
        <r>
          <rPr>
            <sz val="9"/>
            <color indexed="81"/>
            <rFont val="Segoe UI"/>
            <charset val="1"/>
          </rPr>
          <t>Wärmeerzeuger im Bestand vor der Sanierung; mit dieser Angabe werden die Sowieso-Kosten ermittelt</t>
        </r>
      </text>
    </comment>
    <comment ref="B7" authorId="0" shapeId="0" xr:uid="{BA1040D0-4EC4-46E3-A3B5-3D3D080D616C}">
      <text>
        <r>
          <rPr>
            <sz val="9"/>
            <color indexed="81"/>
            <rFont val="Segoe UI"/>
            <family val="2"/>
          </rPr>
          <t>Baualter Technik für jede Anlage unter Berücksichtigung der Angaben in Spalte M aktualisieren. Eingabe hat Einfluss auf Verhältnis Sowieso-Kosten und energetisch bedingte Mehrkosten.
0a = Neubau</t>
        </r>
      </text>
    </comment>
    <comment ref="B8" authorId="0" shapeId="0" xr:uid="{74A47D61-B50E-407E-965D-03D47ADF116E}">
      <text>
        <r>
          <rPr>
            <sz val="9"/>
            <color indexed="81"/>
            <rFont val="Segoe UI"/>
            <family val="2"/>
          </rPr>
          <t>Bauteilalter für jedes Bauteil unter Berücksichtigung der Angaben in Spalte M aktualisieren. Eingabe hat Einfluss auf Verhältnis Sowieso-Kosten und energetisch bedingte Mehrkosten.
0a = Neubau</t>
        </r>
      </text>
    </comment>
    <comment ref="B12" authorId="1" shapeId="0" xr:uid="{00000000-0006-0000-0100-000001000000}">
      <text>
        <r>
          <rPr>
            <sz val="11"/>
            <color rgb="FF000000"/>
            <rFont val="Calibri"/>
            <family val="2"/>
          </rPr>
          <t>https://www.destatis.de/DE/ZahlenFakten/Indikatoren/Konjunkturindikatoren/Preise/bpr110.html</t>
        </r>
      </text>
    </comment>
    <comment ref="B14" authorId="1" shapeId="0" xr:uid="{00000000-0006-0000-0100-000002000000}">
      <text>
        <r>
          <rPr>
            <sz val="11"/>
            <color rgb="FF000000"/>
            <rFont val="Calibri"/>
            <family val="2"/>
          </rPr>
          <t>https://www.sirados.de/ortsfaktoren.html</t>
        </r>
      </text>
    </comment>
    <comment ref="B17" authorId="1" shapeId="0" xr:uid="{00000000-0006-0000-0100-000003000000}">
      <text>
        <r>
          <rPr>
            <sz val="11"/>
            <color rgb="FF000000"/>
            <rFont val="Calibri"/>
            <family val="2"/>
          </rPr>
          <t>Aufschlag auf die Investitionskosten</t>
        </r>
      </text>
    </comment>
    <comment ref="F32" authorId="0" shapeId="0" xr:uid="{FC98B76F-C5DE-45E1-9823-CA3DC242C408}">
      <text>
        <r>
          <rPr>
            <sz val="9"/>
            <color indexed="81"/>
            <rFont val="Segoe UI"/>
            <family val="2"/>
          </rPr>
          <t>Bei den Kosten der Außenwandflächen aus der Bedarfsberechnung sind diese bereits mit Faktor 1,08  korrigiert (Übermessung von Flächen kleiner 25m²)</t>
        </r>
      </text>
    </comment>
    <comment ref="G37" authorId="1" shapeId="0" xr:uid="{00000000-0006-0000-0100-000004000000}">
      <text>
        <r>
          <rPr>
            <sz val="9"/>
            <color rgb="FF000000"/>
            <rFont val="Segoe UI"/>
            <family val="2"/>
          </rPr>
          <t>18 € Einbau Estrich
17 € Abbruch Estrich
12 € Grundkosten Dämmung zzgl. 1,04 €/cm/m²</t>
        </r>
      </text>
    </comment>
    <comment ref="J66" authorId="2" shapeId="0" xr:uid="{00000000-0006-0000-0100-000005000000}">
      <text>
        <r>
          <rPr>
            <sz val="11"/>
            <color rgb="FF000000"/>
            <rFont val="Calibri"/>
            <family val="2"/>
          </rPr>
          <t>Prüfen, ob BHKW monovalent betrieben werden kann. Sonst Investition zzgl. Spitzenlastkessel.</t>
        </r>
      </text>
    </comment>
    <comment ref="J67" authorId="2" shapeId="0" xr:uid="{00000000-0006-0000-0100-000006000000}">
      <text>
        <r>
          <rPr>
            <sz val="11"/>
            <color rgb="FF000000"/>
            <rFont val="Calibri"/>
            <family val="2"/>
          </rPr>
          <t>Prüfen, ob BHKW monovalent betrieben werden kann. Sonst Investition zzgl. Spitzenlastkessel.</t>
        </r>
      </text>
    </comment>
    <comment ref="J68" authorId="2" shapeId="0" xr:uid="{00000000-0006-0000-0100-000007000000}">
      <text>
        <r>
          <rPr>
            <sz val="11"/>
            <color rgb="FF000000"/>
            <rFont val="Calibri"/>
            <family val="2"/>
          </rPr>
          <t>Prüfen, ob BHKW monovalent betrieben werden kann. Sonst Investition zzgl. Spitzenlastkessel.</t>
        </r>
      </text>
    </comment>
    <comment ref="J69" authorId="2" shapeId="0" xr:uid="{00000000-0006-0000-0100-000008000000}">
      <text>
        <r>
          <rPr>
            <sz val="11"/>
            <color rgb="FF000000"/>
            <rFont val="Calibri"/>
            <family val="2"/>
          </rPr>
          <t>Prüfen, ob BHKW monovalent betrieben werden kann. Sonst Investition zzgl. Spitzenlastkessel.</t>
        </r>
      </text>
    </comment>
    <comment ref="J70" authorId="2" shapeId="0" xr:uid="{00000000-0006-0000-0100-000009000000}">
      <text>
        <r>
          <rPr>
            <sz val="11"/>
            <color rgb="FF000000"/>
            <rFont val="Calibri"/>
            <family val="2"/>
          </rPr>
          <t>Prüfen, ob BHKW monovalent betrieben werden kann. Sonst Investition zzgl. Spitzenlastkessel.</t>
        </r>
      </text>
    </comment>
    <comment ref="F85" authorId="0" shapeId="0" xr:uid="{86A7A02F-A377-42A4-A924-9E006B50664B}">
      <text>
        <r>
          <rPr>
            <sz val="9"/>
            <color indexed="81"/>
            <rFont val="Segoe UI"/>
            <charset val="1"/>
          </rPr>
          <t>Kosten inkl. Montage, exkl. Gerüst, Zählererneuerung, Wallboxen, Leistungsoptimierer und Serviceleistungen</t>
        </r>
      </text>
    </comment>
    <comment ref="F91" authorId="1" shapeId="0" xr:uid="{00000000-0006-0000-0100-00000A000000}">
      <text>
        <r>
          <rPr>
            <sz val="11"/>
            <color rgb="FF000000"/>
            <rFont val="Calibri"/>
            <family val="2"/>
          </rPr>
          <t>Umstellung  einer  dezentralen  Heizanlage  auf  eine  zentrale  Versorgung  mit  Heizwärme  und  
Warmwasser</t>
        </r>
      </text>
    </comment>
    <comment ref="F92" authorId="0" shapeId="0" xr:uid="{71316785-DD09-4784-8150-3C2414CABCC8}">
      <text>
        <r>
          <rPr>
            <sz val="9"/>
            <color indexed="81"/>
            <rFont val="Segoe UI"/>
            <family val="2"/>
          </rPr>
          <t>Maßnahmen in der Heizungsperipherie mit Fußbodenheizung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mk</author>
  </authors>
  <commentList>
    <comment ref="B118" authorId="0" shapeId="0" xr:uid="{00000000-0006-0000-0200-000001000000}">
      <text>
        <r>
          <rPr>
            <sz val="11"/>
            <color rgb="FF000000"/>
            <rFont val="Calibri"/>
            <family val="2"/>
          </rPr>
          <t>exkl. Mwst.!</t>
        </r>
      </text>
    </comment>
    <comment ref="C118" authorId="0" shapeId="0" xr:uid="{00000000-0006-0000-0200-000002000000}">
      <text>
        <r>
          <rPr>
            <sz val="11"/>
            <color rgb="FF000000"/>
            <rFont val="Calibri"/>
            <family val="2"/>
          </rPr>
          <t>exkl. Mwst.!</t>
        </r>
      </text>
    </comment>
    <comment ref="B119" authorId="0" shapeId="0" xr:uid="{00000000-0006-0000-0200-000003000000}">
      <text>
        <r>
          <rPr>
            <sz val="11"/>
            <color rgb="FF000000"/>
            <rFont val="Calibri"/>
            <family val="2"/>
          </rPr>
          <t>exkl. MwSt.!</t>
        </r>
      </text>
    </comment>
    <comment ref="C119" authorId="0" shapeId="0" xr:uid="{00000000-0006-0000-0200-000004000000}">
      <text>
        <r>
          <rPr>
            <sz val="11"/>
            <color rgb="FF000000"/>
            <rFont val="Calibri"/>
            <family val="2"/>
          </rPr>
          <t>exkl. Mwst.!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<sst xmlns="http://schemas.openxmlformats.org/spreadsheetml/2006/main" count="690" uniqueCount="338">
  <si>
    <t>Tool zur Kostenermittlung bei der energetischen Sanierung von Wohngebäuden</t>
  </si>
  <si>
    <t>Dieses Tool stellen wir Ihnen kostenlos zur Verfügung.</t>
  </si>
  <si>
    <t>www.solaroffice.de/downloads</t>
  </si>
  <si>
    <t>Support</t>
  </si>
  <si>
    <t>Für die Verwendung dieses Tools können wir keinen Support anbieten. Wir bitten um Ihr Verständnis.</t>
  </si>
  <si>
    <t>Anwendung</t>
  </si>
  <si>
    <t>Haftungsausschluss</t>
  </si>
  <si>
    <t>Herausgeber</t>
  </si>
  <si>
    <t>ECONSULT</t>
  </si>
  <si>
    <t xml:space="preserve">Buchenweg 12, 72108 Rottenburg </t>
  </si>
  <si>
    <t>Unterstützung</t>
  </si>
  <si>
    <t>Mit freundlicher Unterstützung durch die GASAG AG Berlin.</t>
  </si>
  <si>
    <t>Gebäudedaten</t>
  </si>
  <si>
    <t>Wohnfläche</t>
  </si>
  <si>
    <t>[m²]</t>
  </si>
  <si>
    <t>Anzahl Wohneinheiten</t>
  </si>
  <si>
    <t>[-]</t>
  </si>
  <si>
    <t>Hinweis: gelbe Felder sind Eingabefelder</t>
  </si>
  <si>
    <t>Heizlast nach DIN EN 12831 Bbl 2</t>
  </si>
  <si>
    <t>[kW]</t>
  </si>
  <si>
    <t>Preisindex</t>
  </si>
  <si>
    <t>Baupreisindex 2015 (Q1)</t>
  </si>
  <si>
    <t>Baupreisindex aktuell (DESTATIS)</t>
  </si>
  <si>
    <t>Link Baupreisindex</t>
  </si>
  <si>
    <t>Baupreisindex errechnet</t>
  </si>
  <si>
    <t>relativ zu 2015</t>
  </si>
  <si>
    <t>Ortsfaktor</t>
  </si>
  <si>
    <t>Link Ortsfaktor</t>
  </si>
  <si>
    <t>Gesamt</t>
  </si>
  <si>
    <t>Baunebenkosten</t>
  </si>
  <si>
    <t>Eingaben</t>
  </si>
  <si>
    <t>Bruttopreise, inkl. MwSt.</t>
  </si>
  <si>
    <t>Vollkosten</t>
  </si>
  <si>
    <t>Sowieso-Kosten</t>
  </si>
  <si>
    <t>energetisch bedingte Mehrkosten</t>
  </si>
  <si>
    <t>Geltungsbereich</t>
  </si>
  <si>
    <t>Fenster und Türen</t>
  </si>
  <si>
    <t>Kosten [€/m² Bauteil]</t>
  </si>
  <si>
    <t>Kosten [€]</t>
  </si>
  <si>
    <t>von - bis</t>
  </si>
  <si>
    <t>Einheit</t>
  </si>
  <si>
    <t>Jahre</t>
  </si>
  <si>
    <t>Eingabe Fläche Einzelfenster:</t>
  </si>
  <si>
    <t>m²</t>
  </si>
  <si>
    <t>3WSV, Dreh/Kipp, Passivhaus EFH&amp;MFH für F&amp;Ft</t>
  </si>
  <si>
    <t>0,8 - 8,5</t>
  </si>
  <si>
    <t>m² Fläche Einzelfenster</t>
  </si>
  <si>
    <t>Eingabe Fensterfläche gesamt:</t>
  </si>
  <si>
    <t>3WSV, Dreh/Kipp, H/K konv. EFH&amp;MFH für F&amp;Ft</t>
  </si>
  <si>
    <t>0,8 - 8,6</t>
  </si>
  <si>
    <t>2WSV, Dreh/Kipp, H/K konv. EFH&amp;MFH für F&amp;Ft</t>
  </si>
  <si>
    <t>0,8 - 8,7</t>
  </si>
  <si>
    <t>Preis pro Fenster ca. 1 m² Bauteilfläche</t>
  </si>
  <si>
    <t>Dachflächenfenster EFH pro Fenster</t>
  </si>
  <si>
    <t>-</t>
  </si>
  <si>
    <t>Einzelfall prüfen</t>
  </si>
  <si>
    <t>Plausibilität prüfen</t>
  </si>
  <si>
    <t>Dachflächenfenster MFH pro Fenster</t>
  </si>
  <si>
    <t>Eingabe Fläche Haustür:</t>
  </si>
  <si>
    <t>Haustür EFH</t>
  </si>
  <si>
    <t>Haustür MFH</t>
  </si>
  <si>
    <t>Opake Bauteile</t>
  </si>
  <si>
    <t>Eingabe gedämmte Fläche:</t>
  </si>
  <si>
    <t>WDVS (zzgl. Gerüstkosten)</t>
  </si>
  <si>
    <t>8 - 25</t>
  </si>
  <si>
    <t>cm Dämmstoffstärke</t>
  </si>
  <si>
    <t>Dämmstoffdicke</t>
  </si>
  <si>
    <t>cm</t>
  </si>
  <si>
    <t>Außenwand - Kerndämmung</t>
  </si>
  <si>
    <t>4 - 10</t>
  </si>
  <si>
    <t>Wärmeleitfähigkeit (λ)</t>
  </si>
  <si>
    <t>W/mK</t>
  </si>
  <si>
    <t>Keller, unterseitig, ohne Bekleidung</t>
  </si>
  <si>
    <t>5 - 18</t>
  </si>
  <si>
    <t>Äqu. Dämmstoffdicke WLG 035:</t>
  </si>
  <si>
    <t>Keller, unterseitig, mit Bekleidung</t>
  </si>
  <si>
    <t>Keller, oberseitig, Einblasen zwischen die Dielen</t>
  </si>
  <si>
    <t>Hinweis:</t>
  </si>
  <si>
    <t>Bodenplatte</t>
  </si>
  <si>
    <t>Innenwand</t>
  </si>
  <si>
    <t>oberste Geschossdecke, begehbar</t>
  </si>
  <si>
    <t>8 - 30</t>
  </si>
  <si>
    <t>oberste Geschossdecke, nicht begehbar</t>
  </si>
  <si>
    <t>Flachdach ohne Lichtkuppeln</t>
  </si>
  <si>
    <t>6 - 34</t>
  </si>
  <si>
    <t>Flachdach mit Lichtkuppeln EFH</t>
  </si>
  <si>
    <t>Flachdach mit Lichtkuppel MFH</t>
  </si>
  <si>
    <t>Steildach</t>
  </si>
  <si>
    <t>9 - 29</t>
  </si>
  <si>
    <t>Eingabe  Fläche der Gaube(n):</t>
  </si>
  <si>
    <t>Steildachgauben im EFH ohne Fenster</t>
  </si>
  <si>
    <t>Steildachgauben im MFH ohne Fenster</t>
  </si>
  <si>
    <t>Eingabe Fläche Rollladen:</t>
  </si>
  <si>
    <t>Vorbaurollladen, Kunststoff, Gurt</t>
  </si>
  <si>
    <t>Vorbaurollladen, Kunststoff, Elektro</t>
  </si>
  <si>
    <t>Vorbaurollladen, Alu, Gurt</t>
  </si>
  <si>
    <t>Vorbaurollladen, Alu, Elektro</t>
  </si>
  <si>
    <t>Wärmeerzeuger</t>
  </si>
  <si>
    <t>Kosten [€/m² Wohnfläche]</t>
  </si>
  <si>
    <t>Kosten [€/ Bauteil]</t>
  </si>
  <si>
    <t>80 - 2000</t>
  </si>
  <si>
    <t>m² Wohnfläche</t>
  </si>
  <si>
    <t>Die Sowieso-Kosten bei Wärmeerzeugungsanlagen sind die Kosten, die anfallen würden, wenn man den Bestandswärmeerzeuger erneut einbauen würde.</t>
  </si>
  <si>
    <t>80 - 1400</t>
  </si>
  <si>
    <t>Pelletkessel als Einzelmaßnahme</t>
  </si>
  <si>
    <t>80 - 400</t>
  </si>
  <si>
    <t>Fernwärme als Einzelmaßnahme</t>
  </si>
  <si>
    <t>80 - 2500</t>
  </si>
  <si>
    <t>20</t>
  </si>
  <si>
    <t>Anzahl der Elektro-Heizgeräte</t>
  </si>
  <si>
    <t>Stück</t>
  </si>
  <si>
    <t>Elektro-Direktheizgeräte</t>
  </si>
  <si>
    <t>0,4-3,0</t>
  </si>
  <si>
    <t>kW pro Gerät</t>
  </si>
  <si>
    <t>Elektro-Speicherheizung</t>
  </si>
  <si>
    <t>Wärmepumpe (Erdkollektor) nach Heizlast</t>
  </si>
  <si>
    <t>5-23</t>
  </si>
  <si>
    <t xml:space="preserve">kW  </t>
  </si>
  <si>
    <t>Wärmepumpe (Erdsonde) nach Heizlast</t>
  </si>
  <si>
    <t>7-17</t>
  </si>
  <si>
    <t>Wärmepumpe (Luft) nach Heizlast</t>
  </si>
  <si>
    <t>Blockheizkraftwerk</t>
  </si>
  <si>
    <r>
      <rPr>
        <b/>
        <sz val="11"/>
        <color rgb="FF000000"/>
        <rFont val="Calibri"/>
        <family val="2"/>
      </rPr>
      <t>Kosten [€/kW</t>
    </r>
    <r>
      <rPr>
        <b/>
        <vertAlign val="subscript"/>
        <sz val="11"/>
        <color rgb="FF000000"/>
        <rFont val="Calibri"/>
        <family val="2"/>
      </rPr>
      <t>el</t>
    </r>
    <r>
      <rPr>
        <b/>
        <sz val="11"/>
        <color rgb="FF000000"/>
        <rFont val="Calibri"/>
        <family val="2"/>
      </rPr>
      <t>]</t>
    </r>
  </si>
  <si>
    <r>
      <rPr>
        <sz val="11"/>
        <color rgb="FF000000"/>
        <rFont val="Calibri"/>
        <family val="2"/>
      </rPr>
      <t>Eingabe kW</t>
    </r>
    <r>
      <rPr>
        <vertAlign val="subscript"/>
        <sz val="11"/>
        <color rgb="FF000000"/>
        <rFont val="Calibri"/>
        <family val="2"/>
      </rPr>
      <t>el</t>
    </r>
    <r>
      <rPr>
        <sz val="11"/>
        <color rgb="FF000000"/>
        <rFont val="Calibri"/>
        <family val="2"/>
      </rPr>
      <t xml:space="preserve"> BHKW:</t>
    </r>
  </si>
  <si>
    <r>
      <rPr>
        <sz val="11"/>
        <color rgb="FF000000"/>
        <rFont val="Calibri"/>
        <family val="2"/>
      </rPr>
      <t>kW</t>
    </r>
    <r>
      <rPr>
        <vertAlign val="subscript"/>
        <sz val="11"/>
        <color rgb="FF000000"/>
        <rFont val="Calibri"/>
        <family val="2"/>
      </rPr>
      <t>el</t>
    </r>
  </si>
  <si>
    <t>BHKW – Erdgas</t>
  </si>
  <si>
    <t>1 – 19.000</t>
  </si>
  <si>
    <t>kW elektr. Leistung</t>
  </si>
  <si>
    <t>BHKW – Biogas</t>
  </si>
  <si>
    <t>10 – 9.000</t>
  </si>
  <si>
    <t>BHKW – Klärgas</t>
  </si>
  <si>
    <t>10 – 4.000</t>
  </si>
  <si>
    <t>BHKW – Flüssiggas</t>
  </si>
  <si>
    <t>1 – 1.000</t>
  </si>
  <si>
    <t>BHKW – Heizöl</t>
  </si>
  <si>
    <t>1 – 100</t>
  </si>
  <si>
    <t>Wärmeerzeuger + Solarthermie</t>
  </si>
  <si>
    <t>Kollektorbruttofläche WW:</t>
  </si>
  <si>
    <t>Solar für WW, Einzelmaßnahme</t>
  </si>
  <si>
    <t>100 - 2500</t>
  </si>
  <si>
    <t>Standardwert aus DIN V 18599-8:2011-12 für</t>
  </si>
  <si>
    <t>100 - 2300</t>
  </si>
  <si>
    <t>solare TW-Anlage WW:</t>
  </si>
  <si>
    <t>Solar für WW mit Pelletkessel</t>
  </si>
  <si>
    <t>130 - 400</t>
  </si>
  <si>
    <t>Kollektorbruttofläche WW&amp;H:</t>
  </si>
  <si>
    <t>Solar für WW&amp;H, Einzelmaßnahme</t>
  </si>
  <si>
    <t>100 - 800</t>
  </si>
  <si>
    <t>100 - 1900</t>
  </si>
  <si>
    <t>solare Kombianlage WW&amp;H:</t>
  </si>
  <si>
    <t>Solar für WW&amp;H mit Pelletkessel</t>
  </si>
  <si>
    <t>100 - 400</t>
  </si>
  <si>
    <t>Photovoltaik-Anlage</t>
  </si>
  <si>
    <r>
      <rPr>
        <b/>
        <sz val="11"/>
        <color rgb="FF000000"/>
        <rFont val="Calibri"/>
        <family val="2"/>
      </rPr>
      <t>Kosten [€/kW</t>
    </r>
    <r>
      <rPr>
        <b/>
        <vertAlign val="subscript"/>
        <sz val="11"/>
        <color rgb="FF000000"/>
        <rFont val="Calibri"/>
        <family val="2"/>
      </rPr>
      <t>p</t>
    </r>
    <r>
      <rPr>
        <b/>
        <sz val="11"/>
        <color rgb="FF000000"/>
        <rFont val="Calibri"/>
        <family val="2"/>
      </rPr>
      <t>]</t>
    </r>
  </si>
  <si>
    <r>
      <rPr>
        <sz val="11"/>
        <color rgb="FF000000"/>
        <rFont val="Calibri"/>
        <family val="2"/>
      </rPr>
      <t>Eingabe kW</t>
    </r>
    <r>
      <rPr>
        <vertAlign val="subscript"/>
        <sz val="11"/>
        <color rgb="FF000000"/>
        <rFont val="Calibri"/>
        <family val="2"/>
      </rPr>
      <t>p</t>
    </r>
    <r>
      <rPr>
        <sz val="11"/>
        <color rgb="FF000000"/>
        <rFont val="Calibri"/>
        <family val="2"/>
      </rPr>
      <t xml:space="preserve"> (PV-Anlage):</t>
    </r>
  </si>
  <si>
    <r>
      <rPr>
        <sz val="11"/>
        <color rgb="FF000000"/>
        <rFont val="Calibri"/>
        <family val="2"/>
      </rPr>
      <t>kW</t>
    </r>
    <r>
      <rPr>
        <vertAlign val="subscript"/>
        <sz val="11"/>
        <color rgb="FF000000"/>
        <rFont val="Calibri"/>
        <family val="2"/>
      </rPr>
      <t>p</t>
    </r>
  </si>
  <si>
    <t>weitere technische Gebäudeausrüstung</t>
  </si>
  <si>
    <t>Kosten [€/ Maßnahme]</t>
  </si>
  <si>
    <t>Kosten [€/  Maßnahme]</t>
  </si>
  <si>
    <t>Maßnahmen in der Heizungsperipherie</t>
  </si>
  <si>
    <t>Hausanschluss Gas</t>
  </si>
  <si>
    <t>80 - 1800</t>
  </si>
  <si>
    <t>Hausanschluss Fernwärme</t>
  </si>
  <si>
    <t>Eingabe Anzahl Heizkörper bzw. FBH</t>
  </si>
  <si>
    <t>hydr. Abgleich mit neuen Ventilen  und Thermostaten</t>
  </si>
  <si>
    <t>Kosten [€/ Wohneinheit]</t>
  </si>
  <si>
    <t>Lüftungsanlage mit WRG, zentral</t>
  </si>
  <si>
    <t xml:space="preserve">Anzahl der dezent. Lüftungsanlagen </t>
  </si>
  <si>
    <t>Stück je Wohneinheit</t>
  </si>
  <si>
    <t>Lüftungsanlage mit WRG, dezentral</t>
  </si>
  <si>
    <t>Abluftanlage, zentral</t>
  </si>
  <si>
    <t>sonstige Bauleistungen</t>
  </si>
  <si>
    <t>Kosten [€/ Leistung]</t>
  </si>
  <si>
    <t>Gerüste</t>
  </si>
  <si>
    <t>50 - 2500</t>
  </si>
  <si>
    <t>Energieberatung</t>
  </si>
  <si>
    <t>1 - 8</t>
  </si>
  <si>
    <t>Wohneinheiten</t>
  </si>
  <si>
    <t>Energieberatung Wohnungseigentümergemeinschaft</t>
  </si>
  <si>
    <t>3 - 8</t>
  </si>
  <si>
    <t>Architektenleistungen</t>
  </si>
  <si>
    <t>Datengrundlage für alle Angaben, bei denen keine andere Quelle genannt ist: "Kosten energierelevanter Bau- und Anlagenteile"; IWU 2015; im Auftrag des Bundesministerium für Umwelt, Naturschutz, Bau und Reaktorsicherheit bei der energetischen Modernisierung von Altbauten"</t>
  </si>
  <si>
    <t>Berechnung laut Zeile 7, sofern nicht anders angegeben</t>
  </si>
  <si>
    <t>Schätzwert</t>
  </si>
  <si>
    <t>95% Untere</t>
  </si>
  <si>
    <t>95% Obere</t>
  </si>
  <si>
    <t>a</t>
  </si>
  <si>
    <t>b</t>
  </si>
  <si>
    <t>[€/(m²cm)]</t>
  </si>
  <si>
    <t>[€/m²]</t>
  </si>
  <si>
    <t xml:space="preserve"> [-]</t>
  </si>
  <si>
    <t>I = (a x + b) [€/m²]</t>
  </si>
  <si>
    <t>I = a x^b [€/m²]</t>
  </si>
  <si>
    <t>Fenster und Türen – Fenster</t>
  </si>
  <si>
    <t>[€/ m² Bauteil]</t>
  </si>
  <si>
    <t>Fenster und Türen – Dachflächenfenster</t>
  </si>
  <si>
    <t>Fenster und Türen – Türen</t>
  </si>
  <si>
    <t>WDVS - energiebed. Mehrkosten</t>
  </si>
  <si>
    <t>Flachdach - energiebedingte Mehrkosten</t>
  </si>
  <si>
    <t>Steildach - energiebedingte Mehrkosten</t>
  </si>
  <si>
    <t>[€/ m² WF]</t>
  </si>
  <si>
    <t>Ölkessel, Einzelmaßnahme</t>
  </si>
  <si>
    <t>Gas/Ölkessel als Einzelmaßnahme</t>
  </si>
  <si>
    <t xml:space="preserve"> k = 162,95  X0</t>
  </si>
  <si>
    <t>Datengrundlage: Investitionskostenfunktionen TGA S, 16</t>
  </si>
  <si>
    <t>k = 261,51  X0</t>
  </si>
  <si>
    <t>Rechenvorschrift</t>
  </si>
  <si>
    <t>Datengrundlage: BMVBS-Online-Publikation, Nr. 07/2012 "Kosten energierelevanter Bau- und Anlagenteile bei der energetischen Modernisierung von Wohngebäuden"</t>
  </si>
  <si>
    <t>[€/m² WF]</t>
  </si>
  <si>
    <t>l = a x^b [€/ m² WF]</t>
  </si>
  <si>
    <r>
      <rPr>
        <sz val="11"/>
        <color rgb="FF000000"/>
        <rFont val="Calibri"/>
        <family val="2"/>
      </rPr>
      <t xml:space="preserve">[€/kW </t>
    </r>
    <r>
      <rPr>
        <sz val="6.5"/>
        <color rgb="FF000000"/>
        <rFont val="Calibri"/>
        <family val="2"/>
      </rPr>
      <t>Heizlast</t>
    </r>
    <r>
      <rPr>
        <sz val="10"/>
        <color rgb="FF000000"/>
        <rFont val="Calibri"/>
        <family val="2"/>
      </rPr>
      <t>]</t>
    </r>
  </si>
  <si>
    <t>Berechnung</t>
  </si>
  <si>
    <t>0,756*Leistung+14,78</t>
  </si>
  <si>
    <t>1,407*Leistung+15,97</t>
  </si>
  <si>
    <t>0,629*Leistung+12</t>
  </si>
  <si>
    <r>
      <rPr>
        <sz val="11"/>
        <color rgb="FF000000"/>
        <rFont val="Calibri"/>
        <family val="2"/>
      </rPr>
      <t>[€/kW</t>
    </r>
    <r>
      <rPr>
        <vertAlign val="subscript"/>
        <sz val="11"/>
        <color rgb="FF000000"/>
        <rFont val="Calibri"/>
        <family val="2"/>
      </rPr>
      <t>el</t>
    </r>
    <r>
      <rPr>
        <sz val="11"/>
        <color rgb="FF000000"/>
        <rFont val="Calibri"/>
        <family val="2"/>
      </rPr>
      <t>]</t>
    </r>
  </si>
  <si>
    <r>
      <rPr>
        <sz val="11"/>
        <color rgb="FF000000"/>
        <rFont val="Calibri"/>
        <family val="2"/>
      </rPr>
      <t>l = a x^b [€/ kW</t>
    </r>
    <r>
      <rPr>
        <vertAlign val="subscript"/>
        <sz val="11"/>
        <color rgb="FF000000"/>
        <rFont val="Calibri"/>
        <family val="2"/>
      </rPr>
      <t>el</t>
    </r>
    <r>
      <rPr>
        <sz val="11"/>
        <color rgb="FF000000"/>
        <rFont val="Calibri"/>
        <family val="2"/>
      </rPr>
      <t>]</t>
    </r>
  </si>
  <si>
    <t>Modulkosten</t>
  </si>
  <si>
    <r>
      <rPr>
        <sz val="11"/>
        <color rgb="FF000000"/>
        <rFont val="Calibri"/>
        <family val="2"/>
      </rPr>
      <t>BHKW – Erdgas für 1 – 10 kW</t>
    </r>
    <r>
      <rPr>
        <vertAlign val="subscript"/>
        <sz val="11"/>
        <color rgb="FF000000"/>
        <rFont val="Calibri"/>
        <family val="2"/>
      </rPr>
      <t>el</t>
    </r>
  </si>
  <si>
    <t>Datengrundlage: ASUE Arbeitsgemeinschaft für sparsamen und umweltfreundlichen Energieverbrauch e.V.; BHKW-Kenndaten 2014/2015; http://www.asue.de/blockheizkraftwerke/broschueren/05_10_14_bhkw-kenndaten_2014-15</t>
  </si>
  <si>
    <r>
      <rPr>
        <sz val="11"/>
        <color rgb="FF000000"/>
        <rFont val="Calibri"/>
        <family val="2"/>
      </rPr>
      <t>BHKW – Erdgas für 10 – 100 kW</t>
    </r>
    <r>
      <rPr>
        <vertAlign val="subscript"/>
        <sz val="11"/>
        <color rgb="FF000000"/>
        <rFont val="Calibri"/>
        <family val="2"/>
      </rPr>
      <t>el</t>
    </r>
  </si>
  <si>
    <r>
      <rPr>
        <sz val="11"/>
        <color rgb="FF000000"/>
        <rFont val="Calibri"/>
        <family val="2"/>
      </rPr>
      <t>BHKW – Erdgas für 100 – 1.000 kW</t>
    </r>
    <r>
      <rPr>
        <vertAlign val="subscript"/>
        <sz val="11"/>
        <color rgb="FF000000"/>
        <rFont val="Calibri"/>
        <family val="2"/>
      </rPr>
      <t>el</t>
    </r>
  </si>
  <si>
    <r>
      <rPr>
        <sz val="11"/>
        <color rgb="FF000000"/>
        <rFont val="Calibri"/>
        <family val="2"/>
      </rPr>
      <t>BHKW – Erdgas für 1.000 – 19.000 kW</t>
    </r>
    <r>
      <rPr>
        <vertAlign val="subscript"/>
        <sz val="11"/>
        <color rgb="FF000000"/>
        <rFont val="Calibri"/>
        <family val="2"/>
      </rPr>
      <t>el</t>
    </r>
  </si>
  <si>
    <r>
      <rPr>
        <sz val="11"/>
        <color rgb="FF000000"/>
        <rFont val="Calibri"/>
        <family val="2"/>
      </rPr>
      <t>BHKW – Biogas für 1 – 10 kW</t>
    </r>
    <r>
      <rPr>
        <vertAlign val="subscript"/>
        <sz val="11"/>
        <color rgb="FF000000"/>
        <rFont val="Calibri"/>
        <family val="2"/>
      </rPr>
      <t>el</t>
    </r>
  </si>
  <si>
    <r>
      <rPr>
        <sz val="11"/>
        <color rgb="FF000000"/>
        <rFont val="Calibri"/>
        <family val="2"/>
      </rPr>
      <t>BHKW – Biogas für 10 – 100 kW</t>
    </r>
    <r>
      <rPr>
        <vertAlign val="subscript"/>
        <sz val="11"/>
        <color rgb="FF000000"/>
        <rFont val="Calibri"/>
        <family val="2"/>
      </rPr>
      <t>el</t>
    </r>
  </si>
  <si>
    <r>
      <rPr>
        <sz val="11"/>
        <color rgb="FF000000"/>
        <rFont val="Calibri"/>
        <family val="2"/>
      </rPr>
      <t>BHKW – Biogas für 100 – 1.000 kW</t>
    </r>
    <r>
      <rPr>
        <vertAlign val="subscript"/>
        <sz val="11"/>
        <color rgb="FF000000"/>
        <rFont val="Calibri"/>
        <family val="2"/>
      </rPr>
      <t>el</t>
    </r>
  </si>
  <si>
    <r>
      <rPr>
        <sz val="11"/>
        <color rgb="FF000000"/>
        <rFont val="Calibri"/>
        <family val="2"/>
      </rPr>
      <t>BHKW – Biogas für 1.000 – 19.000 kW</t>
    </r>
    <r>
      <rPr>
        <vertAlign val="subscript"/>
        <sz val="11"/>
        <color rgb="FF000000"/>
        <rFont val="Calibri"/>
        <family val="2"/>
      </rPr>
      <t>el</t>
    </r>
  </si>
  <si>
    <r>
      <rPr>
        <sz val="11"/>
        <color rgb="FF000000"/>
        <rFont val="Calibri"/>
        <family val="2"/>
      </rPr>
      <t>BHKW – Klärgas für 1 – 10 kW</t>
    </r>
    <r>
      <rPr>
        <vertAlign val="subscript"/>
        <sz val="11"/>
        <color rgb="FF000000"/>
        <rFont val="Calibri"/>
        <family val="2"/>
      </rPr>
      <t>el</t>
    </r>
  </si>
  <si>
    <r>
      <rPr>
        <sz val="11"/>
        <color rgb="FF000000"/>
        <rFont val="Calibri"/>
        <family val="2"/>
      </rPr>
      <t>BHKW – Klärgas für 10 – 100 kW</t>
    </r>
    <r>
      <rPr>
        <vertAlign val="subscript"/>
        <sz val="11"/>
        <color rgb="FF000000"/>
        <rFont val="Calibri"/>
        <family val="2"/>
      </rPr>
      <t>el</t>
    </r>
  </si>
  <si>
    <r>
      <rPr>
        <sz val="11"/>
        <color rgb="FF000000"/>
        <rFont val="Calibri"/>
        <family val="2"/>
      </rPr>
      <t>BHKW – Klärgas für 100 – 1.000 kW</t>
    </r>
    <r>
      <rPr>
        <vertAlign val="subscript"/>
        <sz val="11"/>
        <color rgb="FF000000"/>
        <rFont val="Calibri"/>
        <family val="2"/>
      </rPr>
      <t>el</t>
    </r>
  </si>
  <si>
    <r>
      <rPr>
        <sz val="11"/>
        <color rgb="FF000000"/>
        <rFont val="Calibri"/>
        <family val="2"/>
      </rPr>
      <t>BHKW – Klärgas für 1.000 – 19.000 kW</t>
    </r>
    <r>
      <rPr>
        <vertAlign val="subscript"/>
        <sz val="11"/>
        <color rgb="FF000000"/>
        <rFont val="Calibri"/>
        <family val="2"/>
      </rPr>
      <t>el</t>
    </r>
  </si>
  <si>
    <r>
      <rPr>
        <sz val="11"/>
        <color rgb="FF000000"/>
        <rFont val="Calibri"/>
        <family val="2"/>
      </rPr>
      <t>BHKW – Flüssiggas für 1 – 10 kW</t>
    </r>
    <r>
      <rPr>
        <vertAlign val="subscript"/>
        <sz val="11"/>
        <color rgb="FF000000"/>
        <rFont val="Calibri"/>
        <family val="2"/>
      </rPr>
      <t>el</t>
    </r>
  </si>
  <si>
    <r>
      <rPr>
        <sz val="11"/>
        <color rgb="FF000000"/>
        <rFont val="Calibri"/>
        <family val="2"/>
      </rPr>
      <t>BHKW – Flüssiggas für 10 – 100 kW</t>
    </r>
    <r>
      <rPr>
        <vertAlign val="subscript"/>
        <sz val="11"/>
        <color rgb="FF000000"/>
        <rFont val="Calibri"/>
        <family val="2"/>
      </rPr>
      <t>el</t>
    </r>
  </si>
  <si>
    <r>
      <rPr>
        <sz val="11"/>
        <color rgb="FF000000"/>
        <rFont val="Calibri"/>
        <family val="2"/>
      </rPr>
      <t>BHKW – Flüssiggas für 100 – 1.000 kW</t>
    </r>
    <r>
      <rPr>
        <vertAlign val="subscript"/>
        <sz val="11"/>
        <color rgb="FF000000"/>
        <rFont val="Calibri"/>
        <family val="2"/>
      </rPr>
      <t>el</t>
    </r>
  </si>
  <si>
    <r>
      <rPr>
        <sz val="11"/>
        <color rgb="FF000000"/>
        <rFont val="Calibri"/>
        <family val="2"/>
      </rPr>
      <t>BHKW – Flüssiggas für 1.000 – 19.000 kW</t>
    </r>
    <r>
      <rPr>
        <vertAlign val="subscript"/>
        <sz val="11"/>
        <color rgb="FF000000"/>
        <rFont val="Calibri"/>
        <family val="2"/>
      </rPr>
      <t>el</t>
    </r>
  </si>
  <si>
    <r>
      <rPr>
        <sz val="11"/>
        <color rgb="FF000000"/>
        <rFont val="Calibri"/>
        <family val="2"/>
      </rPr>
      <t>BHKW – Heizöl für 1 – 10 kW</t>
    </r>
    <r>
      <rPr>
        <vertAlign val="subscript"/>
        <sz val="11"/>
        <color rgb="FF000000"/>
        <rFont val="Calibri"/>
        <family val="2"/>
      </rPr>
      <t>el</t>
    </r>
  </si>
  <si>
    <r>
      <rPr>
        <sz val="11"/>
        <color rgb="FF000000"/>
        <rFont val="Calibri"/>
        <family val="2"/>
      </rPr>
      <t>BHKW – Heizöl für 10 – 100 kW</t>
    </r>
    <r>
      <rPr>
        <vertAlign val="subscript"/>
        <sz val="11"/>
        <color rgb="FF000000"/>
        <rFont val="Calibri"/>
        <family val="2"/>
      </rPr>
      <t>el</t>
    </r>
  </si>
  <si>
    <r>
      <rPr>
        <sz val="11"/>
        <color rgb="FF000000"/>
        <rFont val="Calibri"/>
        <family val="2"/>
      </rPr>
      <t>BHKW – Heizöl für 100 – 1.000 kW</t>
    </r>
    <r>
      <rPr>
        <vertAlign val="subscript"/>
        <sz val="11"/>
        <color rgb="FF000000"/>
        <rFont val="Calibri"/>
        <family val="2"/>
      </rPr>
      <t>el</t>
    </r>
  </si>
  <si>
    <r>
      <rPr>
        <sz val="11"/>
        <color rgb="FF000000"/>
        <rFont val="Calibri"/>
        <family val="2"/>
      </rPr>
      <t>BHKW – Heizöl für 1.000 – 19.000 kW</t>
    </r>
    <r>
      <rPr>
        <vertAlign val="subscript"/>
        <sz val="11"/>
        <color rgb="FF000000"/>
        <rFont val="Calibri"/>
        <family val="2"/>
      </rPr>
      <t>el</t>
    </r>
  </si>
  <si>
    <t>Installation (Zusatzkosten BHKW in %)</t>
  </si>
  <si>
    <t>Transport bis Abnahme</t>
  </si>
  <si>
    <t>Einbindung</t>
  </si>
  <si>
    <r>
      <rPr>
        <sz val="11"/>
        <color rgb="FF000000"/>
        <rFont val="Calibri"/>
        <family val="2"/>
      </rPr>
      <t>Elektrische Leistung in kW</t>
    </r>
    <r>
      <rPr>
        <vertAlign val="subscript"/>
        <sz val="11"/>
        <color rgb="FF000000"/>
        <rFont val="Calibri"/>
        <family val="2"/>
      </rPr>
      <t>el</t>
    </r>
  </si>
  <si>
    <t>kleiner</t>
  </si>
  <si>
    <t>zwischen … und …</t>
  </si>
  <si>
    <t>„&lt;“10</t>
  </si>
  <si>
    <t>„&lt;“100</t>
  </si>
  <si>
    <t>„&lt;“350</t>
  </si>
  <si>
    <t>„&lt;“500</t>
  </si>
  <si>
    <t>„&lt;“750</t>
  </si>
  <si>
    <t>„&lt;“1000</t>
  </si>
  <si>
    <t>„&lt;“1500</t>
  </si>
  <si>
    <t>„&lt;“5000</t>
  </si>
  <si>
    <t>größer</t>
  </si>
  <si>
    <t>Datengrundlage: Universität Kassel, Institut für Thermische Energietechnik</t>
  </si>
  <si>
    <t>l = a x^b [€/m²]</t>
  </si>
  <si>
    <t>[€/ m² Kollektorbruttofläche]</t>
  </si>
  <si>
    <t>Synergie durch gemeinsame Installation Solar WW</t>
  </si>
  <si>
    <t>Pauschale Einsparung:</t>
  </si>
  <si>
    <t>der Investitionskosten aus der Summer der Einzelmaßnahmen</t>
  </si>
  <si>
    <t>Datengrundlage: eigene</t>
  </si>
  <si>
    <t>Synergie durch gemeinsame Installation Solar WW+H</t>
  </si>
  <si>
    <t>Laut tzwl Kosten pro Gerät</t>
  </si>
  <si>
    <t>Datengrundlage: https://tzwl.de/endkunden/infoportal-wohnungslueftung/10-fragen-zu-l%C3%BCftung</t>
  </si>
  <si>
    <t>IWU S. 60</t>
  </si>
  <si>
    <t>[€/m² WF je Wohnung]</t>
  </si>
  <si>
    <t>max.</t>
  </si>
  <si>
    <t>Montagekosten</t>
  </si>
  <si>
    <t>Kanalsystem Kosten pro Wohneinheit</t>
  </si>
  <si>
    <t>ehemals:</t>
  </si>
  <si>
    <t>[€/Heizkörper bzw. FBH] pauschal 500 € + 90 € je Heizkörper bzw FBH für Ventil und Thermostatkopf</t>
  </si>
  <si>
    <t>hydraulischer Abgleich mit neuen Ventilen und Thermostat</t>
  </si>
  <si>
    <t>Aus Studie: mit Thermostatventilen, bezogen auf echte beheizte Fläche</t>
  </si>
  <si>
    <t>k = 8,87  X-0,1412</t>
  </si>
  <si>
    <t>Studie TGA Jagnow</t>
  </si>
  <si>
    <t>zwischen 100 und 2000 m²</t>
  </si>
  <si>
    <t>Pauschal:</t>
  </si>
  <si>
    <t>für EFH / ZFH</t>
  </si>
  <si>
    <t>für MFH mit 3 bis 8 Wohneinheiten</t>
  </si>
  <si>
    <t>für Energieberatung in Wohnungseigentümergemeinschaften</t>
  </si>
  <si>
    <t>Pelletkessel</t>
  </si>
  <si>
    <t>Fernwärme</t>
  </si>
  <si>
    <t>Wärmepumpe (Erdkollektor)</t>
  </si>
  <si>
    <t>Wärmepumpe (Erdsonde)</t>
  </si>
  <si>
    <t>Wärmepumpe (Luft)</t>
  </si>
  <si>
    <t>Solar für WW mit Gaskessel</t>
  </si>
  <si>
    <t>Solar für WW mit Ölkessel</t>
  </si>
  <si>
    <t>Solar für WW&amp;H mit Gaskessel</t>
  </si>
  <si>
    <t>Solar für WW&amp;H mit Ölkessel</t>
  </si>
  <si>
    <t>www.iwu.de/fileadmin/user_upload/dateien/energie/15_08_10_Kostenstudie_Bericht_-_Barrierefrei_-_neu.pdf</t>
  </si>
  <si>
    <t>0%, falls extern addiert</t>
  </si>
  <si>
    <t xml:space="preserve">Es darf nicht weitergegeben und auf anderen Servern zur Verfügung gestellt werden. Es steht frei zum Download unter </t>
  </si>
  <si>
    <t xml:space="preserve">E-Mail: info@solaroffice.de </t>
  </si>
  <si>
    <t>Wärmeerzeuger im Bestand</t>
  </si>
  <si>
    <t>Gaskessel</t>
  </si>
  <si>
    <t>Ölkessel</t>
  </si>
  <si>
    <t>Gaskessel als Einzelmaßnahme</t>
  </si>
  <si>
    <t>Ölkessel als Einzelmaßnahme</t>
  </si>
  <si>
    <t xml:space="preserve">Dropdownliste Auswahl Kessel im Bestand: </t>
  </si>
  <si>
    <t xml:space="preserve">Datengrundlage: eigene (Preisstand 2015)
https://www.bfee-online.de/BfEE/DE/Energiedienstleistungen/Marktkennzahlen/marktkennzahlen_node.html  </t>
  </si>
  <si>
    <t>Baualter Technik</t>
  </si>
  <si>
    <t>[a]</t>
  </si>
  <si>
    <t>Baualter Bauteil</t>
  </si>
  <si>
    <t>Lebensdauer der Bau- oder Anlagenteile</t>
  </si>
  <si>
    <t>Eingabe Fläche Innentür:</t>
  </si>
  <si>
    <t>II.2023</t>
  </si>
  <si>
    <t>Faktor relativ zu 2015</t>
  </si>
  <si>
    <t>MwSt</t>
  </si>
  <si>
    <t>Baupreisindexanpassung auf 2015</t>
  </si>
  <si>
    <t xml:space="preserve">Datengrundlage: BMVBS-Online_Publikation 07/2012  https://www.bbsr.bund.de/BBSR/DE/veroeffentlichungen/ministerien/bmvbs/bmvbs-online/2012/DL_ON072012.pdf?__blob=publicationFile&amp;v=2 </t>
  </si>
  <si>
    <t>Daneben werden noch weitere Quellen zur Ermittlung der Kosten herangezogen. Diese sind im Tabellenblatt "Daten" einsehbar.
Die im Tabellenblatt "Eingabe" gelb hinterlegten Felder sind veränderlich und von Nutzer entsprechend der geplanten Sanierungsmaßnahme auszufüllen. Zu beachten ist, dass die durch die Studie ermittelten
Kostenfunktionen nur im angegebenen Gültigkeitsbereich verwendet werden können.
Bei einer Eingabe außerhalb des Gültigkeitsbereichs wird der Hintergrund der ermittelten Kosten und der ausgewiesene Gültigkeitsbereich rot eingefärbt.</t>
  </si>
  <si>
    <t>Zu-/ Abluftanlage mit Wärmepumpe</t>
  </si>
  <si>
    <t>Innentür zu unbeheiztem Raum inkl. Ausbau alter Tür</t>
  </si>
  <si>
    <t>Datengrundlage: Eigene</t>
  </si>
  <si>
    <t>Datengrundlage: 18 € Einbau Estrich; 17 € Abbruch Estrich; 12 € Grundkosten Dämmung zzgl. 1,04 €/cm/m²; Indizierung auf Jahr 2015: 110,6/99,2</t>
  </si>
  <si>
    <t>Heizungsperipherie mit Fußbodenheizung</t>
  </si>
  <si>
    <t>Datenstand 2023, indiziert auf 2015; Datengrundlage: Wärmepumpen in Bestandsgebäuden, Teil 2 GEB April 2025 https://www.geb-info.de/node/239051/print</t>
  </si>
  <si>
    <t>Heizkörpertausch (pro Stück)</t>
  </si>
  <si>
    <t>Heizkörpertausch</t>
  </si>
  <si>
    <r>
      <t xml:space="preserve">Das Tool dient der Ermittlung der Kosten (Vollkosten und energetisch bedingte Mehrkosten) bei der energetischen Sanierung von Wohngebäuden. Sowohl für die Gebäudehülle als auch für die Anlagentechnik können Kosten für Sanierungsmaßnahmen ermittelt werden. Die ausgegebenen Kosten verstehen sich einschließlich Mehrwertsteuer. Datengrundlage für die Ermittlung der Kosten ist in weiten Teilen die Studie
</t>
    </r>
    <r>
      <rPr>
        <b/>
        <i/>
        <sz val="11"/>
        <color rgb="FF000000"/>
        <rFont val="Calibri"/>
        <family val="2"/>
      </rPr>
      <t>Kosten energierelevanter Bau- und Anlagenteile bei der energetischen Modernisierung von Altbauten</t>
    </r>
    <r>
      <rPr>
        <sz val="11"/>
        <color rgb="FF000000"/>
        <rFont val="Calibri"/>
        <family val="2"/>
      </rPr>
      <t>, herausgegeben vom Institut Wohnen und Umwelt GmbH (IWU).
Die Studie kann eingesehen werden unter</t>
    </r>
  </si>
  <si>
    <t>Dieses Tool wurde nach bestem Wissen und Gewissen und mit größtmöglicher Sorgfalt erstellt. Da Fehler jedoch nie auszuschließen sind, kann keine Gewähr für Vollständigkeit und Richtigkeit übernommen werden.Sie laden und verwenden diese Datei und alle Inhalte auf eigenes Risiko. Für Schäden, die auf Grund der Verwendung dieser Datei entstehen, kann keine Haftung übernommen werden.</t>
  </si>
  <si>
    <t>©2026 Alle Rechte bei ECONSULT Lambrecht Jungmann Partner</t>
  </si>
  <si>
    <t>(zuletzt abgerufen am 16.12.2025)</t>
  </si>
  <si>
    <t>Lambrecht Jungmann und Partner</t>
  </si>
  <si>
    <t>Inhaber: Klaus Lambrecht, Uli Jungmann, Aron Oehler (Juniorpartner)</t>
  </si>
  <si>
    <t>© 2026 ECONSULT Lambrecht Jungmann und Partner | www.solaroffice.de</t>
  </si>
  <si>
    <t>PV-Anlage ohne Speicher</t>
  </si>
  <si>
    <t>kWh</t>
  </si>
  <si>
    <t>Stromspeicher PV-Anlage</t>
  </si>
  <si>
    <t>Nettopreis! Ergebnis ist um Mwst. zu beaufschlagen</t>
  </si>
  <si>
    <t>Eingabe kWh (Stromspeicher):</t>
  </si>
  <si>
    <t>kWp</t>
  </si>
  <si>
    <t>3 - 40</t>
  </si>
  <si>
    <t>l = a*x^b * Mwst [€/kWp]</t>
  </si>
  <si>
    <t>Kosten [€/kWh]</t>
  </si>
  <si>
    <t>[€/kWp]</t>
  </si>
  <si>
    <t>Datengrundlage: PV-Netzwerk BW, Datenauswertung PV-Kosten für die Jahre 2024, 2025; Stand Okt. 2025
Kostenangaben inklusive Montagekosten, exklusive Kosten für Zählererneuerung, Wallboxen, Leistungsoptimierer, Wandlermessung, Gerüst und Serviceleistungen.</t>
  </si>
  <si>
    <t>Kostentool für die energetische Gebäudesanierung von Wohngebäuden V1.42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</si>
</sst>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 [$€-407];[Red]\-#,##0.00\ [$€-407]"/>
    <numFmt numFmtId="165" formatCode="0.0"/>
    <numFmt numFmtId="166" formatCode="0.000"/>
    <numFmt numFmtId="167" formatCode="0\ %"/>
    <numFmt numFmtId="168" formatCode="#,##0.0"/>
    <numFmt numFmtId="169" formatCode="#,##0.000"/>
    <numFmt numFmtId="170" formatCode="#,##0\ [$€-407];[Red]\-#,##0\ [$€-407]"/>
  </numFmts>
  <fonts count="20" x14ac:knownFonts="1">
    <font>
      <sz val="11"/>
      <color rgb="FF000000"/>
      <name val="Calibri"/>
      <family val="2"/>
    </font>
    <font>
      <b/>
      <i/>
      <u/>
      <sz val="11"/>
      <color rgb="FF000000"/>
      <name val="Calibri"/>
      <family val="2"/>
    </font>
    <font>
      <b/>
      <sz val="14"/>
      <color rgb="FF000000"/>
      <name val="Calibri"/>
      <family val="2"/>
    </font>
    <font>
      <b/>
      <u/>
      <sz val="11"/>
      <color rgb="FF000000"/>
      <name val="Calibri"/>
      <family val="2"/>
    </font>
    <font>
      <u/>
      <sz val="11"/>
      <color rgb="FF0000FF"/>
      <name val="Calibri"/>
      <family val="2"/>
    </font>
    <font>
      <b/>
      <sz val="11"/>
      <color rgb="FF000000"/>
      <name val="Calibri"/>
      <family val="2"/>
    </font>
    <font>
      <b/>
      <i/>
      <sz val="11"/>
      <color rgb="FF000000"/>
      <name val="Calibri"/>
      <family val="2"/>
    </font>
    <font>
      <sz val="11"/>
      <name val="Calibri"/>
      <family val="2"/>
    </font>
    <font>
      <b/>
      <vertAlign val="subscript"/>
      <sz val="11"/>
      <color rgb="FF000000"/>
      <name val="Calibri"/>
      <family val="2"/>
    </font>
    <font>
      <vertAlign val="subscript"/>
      <sz val="11"/>
      <color rgb="FF000000"/>
      <name val="Calibri"/>
      <family val="2"/>
    </font>
    <font>
      <sz val="11"/>
      <color rgb="FFFFFFFF"/>
      <name val="Calibri"/>
      <family val="2"/>
    </font>
    <font>
      <sz val="9"/>
      <color rgb="FF000000"/>
      <name val="Segoe UI"/>
      <family val="2"/>
    </font>
    <font>
      <sz val="6.5"/>
      <color rgb="FF000000"/>
      <name val="Calibri"/>
      <family val="2"/>
    </font>
    <font>
      <sz val="10"/>
      <color rgb="FF000000"/>
      <name val="Calibri"/>
      <family val="2"/>
    </font>
    <font>
      <sz val="11"/>
      <color rgb="FF000000"/>
      <name val="Calibri"/>
      <family val="2"/>
    </font>
    <font>
      <sz val="9"/>
      <color indexed="81"/>
      <name val="Segoe UI"/>
      <family val="2"/>
    </font>
    <font>
      <sz val="11"/>
      <color theme="2" tint="-0.249977111117893"/>
      <name val="Calibri"/>
      <family val="2"/>
    </font>
    <font>
      <sz val="11"/>
      <color theme="0"/>
      <name val="Calibri"/>
      <family val="2"/>
    </font>
    <font>
      <sz val="9"/>
      <color indexed="81"/>
      <name val="Segoe UI"/>
      <charset val="1"/>
    </font>
    <font>
      <sz val="11"/>
      <color theme="1"/>
      <name val="Calibri"/>
      <family val="2"/>
    </font>
  </fonts>
  <fills count="11">
    <fill>
      <patternFill patternType="none"/>
    </fill>
    <fill>
      <patternFill patternType="gray125"/>
    </fill>
    <fill>
      <patternFill patternType="solid">
        <fgColor rgb="FFFFFFFF"/>
        <bgColor rgb="FFEEECE1"/>
      </patternFill>
    </fill>
    <fill>
      <patternFill patternType="solid">
        <fgColor rgb="FFD9D9D9"/>
        <bgColor rgb="FFEEECE1"/>
      </patternFill>
    </fill>
    <fill>
      <patternFill patternType="solid">
        <fgColor rgb="FFA6A6A6"/>
        <bgColor rgb="FFC0C0C0"/>
      </patternFill>
    </fill>
    <fill>
      <patternFill patternType="solid">
        <fgColor rgb="FFEEECE1"/>
        <bgColor rgb="FFD9D9D9"/>
      </patternFill>
    </fill>
    <fill>
      <patternFill patternType="solid">
        <fgColor rgb="FFFFFF00"/>
        <bgColor rgb="FFFFF200"/>
      </patternFill>
    </fill>
    <fill>
      <patternFill patternType="solid">
        <fgColor rgb="FFFFF200"/>
        <bgColor rgb="FFFFFF00"/>
      </patternFill>
    </fill>
    <fill>
      <patternFill patternType="solid">
        <fgColor rgb="FF99FF66"/>
        <bgColor rgb="FF99CC00"/>
      </patternFill>
    </fill>
    <fill>
      <patternFill patternType="solid">
        <fgColor theme="0" tint="-0.14999847407452621"/>
        <bgColor indexed="64"/>
      </patternFill>
    </fill>
    <fill>
      <patternFill patternType="solid">
        <fgColor theme="0" tint="-0.14999847407452621"/>
        <bgColor rgb="FFEEECE1"/>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4">
    <xf numFmtId="0" fontId="0" fillId="0" borderId="0"/>
    <xf numFmtId="167" fontId="14" fillId="0" borderId="0" applyBorder="0" applyProtection="0"/>
    <xf numFmtId="0" fontId="4" fillId="0" borderId="0" applyBorder="0" applyProtection="0"/>
    <xf numFmtId="164" fontId="1" fillId="0" borderId="0" applyBorder="0" applyProtection="0"/>
  </cellStyleXfs>
  <cellXfs count="189">
    <xf numFmtId="0" fontId="0" fillId="0" borderId="0" xfId="0"/>
    <xf numFmtId="3" fontId="0" fillId="2" borderId="1" xfId="0" applyNumberFormat="1" applyFill="1" applyBorder="1" applyAlignment="1">
      <alignment horizontal="center"/>
    </xf>
    <xf numFmtId="0" fontId="5" fillId="3" borderId="1" xfId="0" applyFont="1" applyFill="1" applyBorder="1" applyAlignment="1">
      <alignment horizontal="center" wrapText="1"/>
    </xf>
    <xf numFmtId="0" fontId="0" fillId="2" borderId="1" xfId="0" applyFill="1" applyBorder="1" applyAlignment="1">
      <alignment horizontal="left"/>
    </xf>
    <xf numFmtId="0" fontId="0" fillId="2" borderId="1" xfId="0" applyFill="1" applyBorder="1" applyAlignment="1">
      <alignment horizontal="center"/>
    </xf>
    <xf numFmtId="0" fontId="0" fillId="3" borderId="0" xfId="0" applyFill="1" applyAlignment="1">
      <alignment horizontal="left" vertical="center" wrapText="1"/>
    </xf>
    <xf numFmtId="0" fontId="0" fillId="2" borderId="0" xfId="0" applyFill="1"/>
    <xf numFmtId="0" fontId="2" fillId="3" borderId="0" xfId="0" applyFont="1" applyFill="1"/>
    <xf numFmtId="0" fontId="0" fillId="3" borderId="0" xfId="0" applyFill="1"/>
    <xf numFmtId="0" fontId="3" fillId="3" borderId="0" xfId="0" applyFont="1" applyFill="1"/>
    <xf numFmtId="0" fontId="5" fillId="3" borderId="0" xfId="0" applyFont="1" applyFill="1"/>
    <xf numFmtId="0" fontId="0" fillId="3" borderId="0" xfId="0" applyFill="1" applyAlignment="1">
      <alignment vertical="top" wrapText="1"/>
    </xf>
    <xf numFmtId="0" fontId="0" fillId="0" borderId="0" xfId="0" applyProtection="1">
      <protection locked="0"/>
    </xf>
    <xf numFmtId="0" fontId="0" fillId="0" borderId="0" xfId="0" applyAlignment="1">
      <alignment horizontal="left"/>
    </xf>
    <xf numFmtId="0" fontId="0" fillId="4" borderId="0" xfId="0" applyFill="1"/>
    <xf numFmtId="0" fontId="0" fillId="4" borderId="0" xfId="0" applyFill="1" applyAlignment="1">
      <alignment horizontal="left"/>
    </xf>
    <xf numFmtId="0" fontId="0" fillId="2" borderId="1" xfId="0" applyFill="1" applyBorder="1"/>
    <xf numFmtId="0" fontId="0" fillId="7" borderId="0" xfId="0" applyFill="1"/>
    <xf numFmtId="0" fontId="0" fillId="4" borderId="0" xfId="0" applyFill="1" applyAlignment="1">
      <alignment horizontal="right"/>
    </xf>
    <xf numFmtId="0" fontId="5" fillId="4" borderId="0" xfId="0" applyFont="1" applyFill="1" applyAlignment="1">
      <alignment horizontal="left"/>
    </xf>
    <xf numFmtId="165" fontId="5" fillId="4" borderId="0" xfId="0" applyNumberFormat="1" applyFont="1" applyFill="1"/>
    <xf numFmtId="165" fontId="0" fillId="2" borderId="1" xfId="0" applyNumberFormat="1" applyFill="1" applyBorder="1"/>
    <xf numFmtId="0" fontId="0" fillId="0" borderId="1" xfId="0" applyBorder="1"/>
    <xf numFmtId="165" fontId="0" fillId="6" borderId="1" xfId="0" applyNumberFormat="1" applyFill="1" applyBorder="1" applyProtection="1">
      <protection locked="0"/>
    </xf>
    <xf numFmtId="166" fontId="0" fillId="6" borderId="1" xfId="0" applyNumberFormat="1" applyFill="1" applyBorder="1" applyProtection="1">
      <protection locked="0"/>
    </xf>
    <xf numFmtId="0" fontId="5" fillId="2" borderId="1" xfId="0" applyFont="1" applyFill="1" applyBorder="1"/>
    <xf numFmtId="165" fontId="5" fillId="2" borderId="1" xfId="0" applyNumberFormat="1" applyFont="1" applyFill="1" applyBorder="1"/>
    <xf numFmtId="167" fontId="0" fillId="6" borderId="1" xfId="0" applyNumberFormat="1" applyFill="1" applyBorder="1" applyProtection="1">
      <protection locked="0"/>
    </xf>
    <xf numFmtId="0" fontId="5" fillId="3" borderId="1" xfId="0" applyFont="1" applyFill="1" applyBorder="1" applyAlignment="1">
      <alignment wrapText="1"/>
    </xf>
    <xf numFmtId="0" fontId="5" fillId="3" borderId="1" xfId="0" applyFont="1" applyFill="1" applyBorder="1"/>
    <xf numFmtId="0" fontId="5" fillId="3" borderId="1" xfId="0" applyFont="1" applyFill="1" applyBorder="1" applyAlignment="1">
      <alignment horizontal="center"/>
    </xf>
    <xf numFmtId="49" fontId="5" fillId="3" borderId="1" xfId="0" applyNumberFormat="1" applyFont="1" applyFill="1" applyBorder="1" applyAlignment="1">
      <alignment horizontal="center"/>
    </xf>
    <xf numFmtId="0" fontId="0" fillId="2" borderId="2" xfId="0" applyFill="1" applyBorder="1" applyAlignment="1">
      <alignment horizontal="left"/>
    </xf>
    <xf numFmtId="168" fontId="0" fillId="6" borderId="3" xfId="0" applyNumberFormat="1" applyFill="1" applyBorder="1" applyProtection="1">
      <protection locked="0"/>
    </xf>
    <xf numFmtId="0" fontId="0" fillId="2" borderId="3" xfId="0" applyFill="1" applyBorder="1"/>
    <xf numFmtId="0" fontId="0" fillId="0" borderId="4" xfId="0" applyBorder="1"/>
    <xf numFmtId="0" fontId="7" fillId="2" borderId="1" xfId="0" applyFont="1" applyFill="1" applyBorder="1"/>
    <xf numFmtId="3" fontId="0" fillId="8" borderId="1" xfId="0" applyNumberFormat="1" applyFill="1" applyBorder="1" applyAlignment="1">
      <alignment horizontal="center"/>
    </xf>
    <xf numFmtId="49" fontId="0" fillId="2" borderId="1" xfId="0" applyNumberFormat="1" applyFill="1" applyBorder="1" applyAlignment="1">
      <alignment horizontal="center"/>
    </xf>
    <xf numFmtId="0" fontId="0" fillId="2" borderId="5" xfId="0" applyFill="1" applyBorder="1" applyAlignment="1">
      <alignment horizontal="left"/>
    </xf>
    <xf numFmtId="168" fontId="0" fillId="6" borderId="0" xfId="0" applyNumberFormat="1" applyFill="1" applyProtection="1">
      <protection locked="0"/>
    </xf>
    <xf numFmtId="0" fontId="0" fillId="2" borderId="6" xfId="0" applyFill="1" applyBorder="1"/>
    <xf numFmtId="0" fontId="0" fillId="2" borderId="7" xfId="0" applyFill="1" applyBorder="1"/>
    <xf numFmtId="0" fontId="0" fillId="2" borderId="8" xfId="0" applyFill="1" applyBorder="1"/>
    <xf numFmtId="0" fontId="0" fillId="2" borderId="9" xfId="0" applyFill="1" applyBorder="1"/>
    <xf numFmtId="0" fontId="0" fillId="2" borderId="2" xfId="0" applyFill="1" applyBorder="1"/>
    <xf numFmtId="0" fontId="0" fillId="2" borderId="4" xfId="0" applyFill="1" applyBorder="1"/>
    <xf numFmtId="1" fontId="0" fillId="2" borderId="1" xfId="0" applyNumberFormat="1" applyFill="1" applyBorder="1" applyAlignment="1">
      <alignment horizontal="center"/>
    </xf>
    <xf numFmtId="10" fontId="0" fillId="0" borderId="0" xfId="0" applyNumberFormat="1"/>
    <xf numFmtId="0" fontId="0" fillId="4" borderId="0" xfId="0" applyFill="1" applyAlignment="1">
      <alignment horizontal="center"/>
    </xf>
    <xf numFmtId="3" fontId="0" fillId="6" borderId="3" xfId="0" applyNumberFormat="1" applyFill="1" applyBorder="1" applyProtection="1">
      <protection locked="0"/>
    </xf>
    <xf numFmtId="3" fontId="0" fillId="6" borderId="0" xfId="0" applyNumberFormat="1" applyFill="1" applyProtection="1">
      <protection locked="0"/>
    </xf>
    <xf numFmtId="169" fontId="0" fillId="6" borderId="0" xfId="0" applyNumberFormat="1" applyFill="1" applyProtection="1">
      <protection locked="0"/>
    </xf>
    <xf numFmtId="1" fontId="0" fillId="0" borderId="0" xfId="0" applyNumberFormat="1"/>
    <xf numFmtId="0" fontId="0" fillId="2" borderId="5" xfId="0" applyFill="1" applyBorder="1" applyAlignment="1">
      <alignment wrapText="1"/>
    </xf>
    <xf numFmtId="0" fontId="0" fillId="2" borderId="0" xfId="0" applyFill="1" applyAlignment="1">
      <alignment wrapText="1"/>
    </xf>
    <xf numFmtId="0" fontId="0" fillId="2" borderId="6" xfId="0" applyFill="1" applyBorder="1" applyAlignment="1">
      <alignment wrapText="1"/>
    </xf>
    <xf numFmtId="0" fontId="0" fillId="2" borderId="5" xfId="0" applyFill="1" applyBorder="1"/>
    <xf numFmtId="0" fontId="0" fillId="2" borderId="1" xfId="0" applyFill="1" applyBorder="1" applyAlignment="1">
      <alignment wrapText="1"/>
    </xf>
    <xf numFmtId="1" fontId="0" fillId="8" borderId="1" xfId="0" applyNumberFormat="1" applyFill="1" applyBorder="1" applyAlignment="1">
      <alignment horizontal="center"/>
    </xf>
    <xf numFmtId="1" fontId="0" fillId="6" borderId="0" xfId="0" applyNumberFormat="1" applyFill="1" applyProtection="1">
      <protection locked="0"/>
    </xf>
    <xf numFmtId="0" fontId="0" fillId="2" borderId="6" xfId="0" applyFill="1" applyBorder="1" applyAlignment="1">
      <alignment horizontal="left" wrapText="1"/>
    </xf>
    <xf numFmtId="0" fontId="0" fillId="2" borderId="5" xfId="0" applyFill="1" applyBorder="1" applyAlignment="1">
      <alignment horizontal="left" wrapText="1"/>
    </xf>
    <xf numFmtId="0" fontId="0" fillId="2" borderId="0" xfId="0" applyFill="1" applyAlignment="1">
      <alignment horizontal="left" wrapText="1"/>
    </xf>
    <xf numFmtId="165" fontId="0" fillId="6" borderId="0" xfId="0" applyNumberFormat="1" applyFill="1" applyProtection="1">
      <protection locked="0"/>
    </xf>
    <xf numFmtId="1" fontId="10" fillId="2" borderId="6" xfId="0" applyNumberFormat="1" applyFont="1" applyFill="1" applyBorder="1"/>
    <xf numFmtId="0" fontId="0" fillId="0" borderId="2" xfId="0" applyBorder="1"/>
    <xf numFmtId="165" fontId="0" fillId="6" borderId="3" xfId="0" applyNumberFormat="1" applyFill="1" applyBorder="1" applyProtection="1">
      <protection locked="0"/>
    </xf>
    <xf numFmtId="0" fontId="0" fillId="5" borderId="5" xfId="0" applyFill="1" applyBorder="1"/>
    <xf numFmtId="0" fontId="0" fillId="5" borderId="0" xfId="0" applyFill="1"/>
    <xf numFmtId="0" fontId="0" fillId="0" borderId="5" xfId="0" applyBorder="1"/>
    <xf numFmtId="0" fontId="0" fillId="2" borderId="11" xfId="0" applyFill="1" applyBorder="1" applyAlignment="1">
      <alignment horizontal="left"/>
    </xf>
    <xf numFmtId="0" fontId="0" fillId="2" borderId="12" xfId="0" applyFill="1" applyBorder="1"/>
    <xf numFmtId="0" fontId="0" fillId="2" borderId="13" xfId="0" applyFill="1" applyBorder="1"/>
    <xf numFmtId="1" fontId="0" fillId="0" borderId="0" xfId="0" applyNumberFormat="1" applyProtection="1">
      <protection locked="0"/>
    </xf>
    <xf numFmtId="0" fontId="0" fillId="4" borderId="0" xfId="0" applyFill="1" applyProtection="1">
      <protection locked="0"/>
    </xf>
    <xf numFmtId="49" fontId="0" fillId="0" borderId="0" xfId="0" applyNumberFormat="1" applyAlignment="1">
      <alignment horizontal="left"/>
    </xf>
    <xf numFmtId="0" fontId="0" fillId="0" borderId="0" xfId="0" applyAlignment="1">
      <alignment horizontal="center"/>
    </xf>
    <xf numFmtId="0" fontId="0" fillId="0" borderId="0" xfId="0" applyAlignment="1">
      <alignment wrapText="1"/>
    </xf>
    <xf numFmtId="0" fontId="0" fillId="0" borderId="0" xfId="0" applyAlignment="1">
      <alignment horizontal="left" vertical="top"/>
    </xf>
    <xf numFmtId="0" fontId="0" fillId="0" borderId="3" xfId="0" applyBorder="1" applyAlignment="1">
      <alignment horizontal="center"/>
    </xf>
    <xf numFmtId="0" fontId="5" fillId="0" borderId="8" xfId="0" applyFont="1" applyBorder="1"/>
    <xf numFmtId="0" fontId="0" fillId="0" borderId="8" xfId="0" applyBorder="1" applyAlignment="1">
      <alignment horizontal="center"/>
    </xf>
    <xf numFmtId="0" fontId="5" fillId="0" borderId="0" xfId="0" applyFont="1"/>
    <xf numFmtId="0" fontId="0" fillId="0" borderId="1" xfId="0" applyBorder="1" applyAlignment="1">
      <alignment wrapText="1"/>
    </xf>
    <xf numFmtId="0" fontId="0" fillId="0" borderId="8" xfId="0" applyBorder="1"/>
    <xf numFmtId="4" fontId="0" fillId="0" borderId="1" xfId="0" applyNumberFormat="1" applyBorder="1"/>
    <xf numFmtId="4" fontId="0" fillId="0" borderId="0" xfId="0" applyNumberFormat="1"/>
    <xf numFmtId="0" fontId="0" fillId="0" borderId="6" xfId="0" applyBorder="1"/>
    <xf numFmtId="4" fontId="0" fillId="0" borderId="8" xfId="0" applyNumberFormat="1" applyBorder="1"/>
    <xf numFmtId="0" fontId="0" fillId="0" borderId="9" xfId="0" applyBorder="1"/>
    <xf numFmtId="0" fontId="0" fillId="0" borderId="11" xfId="0" applyBorder="1"/>
    <xf numFmtId="0" fontId="0" fillId="0" borderId="12" xfId="0" applyBorder="1"/>
    <xf numFmtId="0" fontId="0" fillId="0" borderId="13" xfId="0" applyBorder="1"/>
    <xf numFmtId="0" fontId="0" fillId="0" borderId="0" xfId="0" applyAlignment="1">
      <alignment horizontal="left" vertical="center"/>
    </xf>
    <xf numFmtId="0" fontId="0" fillId="0" borderId="3" xfId="0" applyBorder="1"/>
    <xf numFmtId="4" fontId="0" fillId="0" borderId="3" xfId="0" applyNumberFormat="1" applyBorder="1"/>
    <xf numFmtId="0" fontId="0" fillId="0" borderId="1" xfId="0" applyBorder="1" applyAlignment="1">
      <alignment vertical="center"/>
    </xf>
    <xf numFmtId="0" fontId="0" fillId="0" borderId="0" xfId="0" applyAlignment="1">
      <alignment horizontal="center" vertical="center"/>
    </xf>
    <xf numFmtId="0" fontId="0" fillId="2" borderId="11" xfId="0" applyFill="1" applyBorder="1"/>
    <xf numFmtId="168" fontId="0" fillId="0" borderId="1" xfId="0" applyNumberFormat="1" applyBorder="1" applyAlignment="1">
      <alignment horizontal="right"/>
    </xf>
    <xf numFmtId="166" fontId="0" fillId="0" borderId="1" xfId="0" applyNumberFormat="1" applyBorder="1" applyAlignment="1">
      <alignment horizontal="right"/>
    </xf>
    <xf numFmtId="168" fontId="0" fillId="0" borderId="0" xfId="0" applyNumberFormat="1" applyAlignment="1">
      <alignment horizontal="right"/>
    </xf>
    <xf numFmtId="166" fontId="0" fillId="0" borderId="0" xfId="0" applyNumberFormat="1" applyAlignment="1">
      <alignment horizontal="right"/>
    </xf>
    <xf numFmtId="0" fontId="0" fillId="2" borderId="11" xfId="0" applyFill="1" applyBorder="1" applyAlignment="1">
      <alignment horizontal="right"/>
    </xf>
    <xf numFmtId="3" fontId="0" fillId="0" borderId="1" xfId="0" applyNumberFormat="1" applyBorder="1" applyAlignment="1">
      <alignment horizontal="right"/>
    </xf>
    <xf numFmtId="4" fontId="0" fillId="0" borderId="12" xfId="0" applyNumberFormat="1" applyBorder="1"/>
    <xf numFmtId="167" fontId="0" fillId="0" borderId="12" xfId="1" applyFont="1" applyBorder="1" applyAlignment="1" applyProtection="1">
      <alignment horizontal="right"/>
    </xf>
    <xf numFmtId="167" fontId="0" fillId="0" borderId="12" xfId="1" applyFont="1" applyBorder="1" applyProtection="1"/>
    <xf numFmtId="167" fontId="0" fillId="0" borderId="0" xfId="1" applyFont="1" applyBorder="1" applyProtection="1"/>
    <xf numFmtId="167" fontId="0" fillId="0" borderId="3" xfId="1" applyFont="1" applyBorder="1" applyProtection="1"/>
    <xf numFmtId="0" fontId="5" fillId="0" borderId="5" xfId="0" applyFont="1" applyBorder="1"/>
    <xf numFmtId="0" fontId="0" fillId="0" borderId="1" xfId="0" applyBorder="1" applyAlignment="1">
      <alignment horizontal="right" vertical="center"/>
    </xf>
    <xf numFmtId="0" fontId="0" fillId="0" borderId="12" xfId="0" applyBorder="1" applyAlignment="1">
      <alignment horizontal="left"/>
    </xf>
    <xf numFmtId="0" fontId="0" fillId="0" borderId="11" xfId="0" applyBorder="1" applyAlignment="1">
      <alignment horizontal="left" vertical="center"/>
    </xf>
    <xf numFmtId="0" fontId="0" fillId="3" borderId="0" xfId="0" applyFill="1" applyAlignment="1">
      <alignment vertical="center" wrapText="1"/>
    </xf>
    <xf numFmtId="0" fontId="0" fillId="9" borderId="0" xfId="0" applyFill="1"/>
    <xf numFmtId="0" fontId="0" fillId="2" borderId="0" xfId="0" applyFill="1" applyBorder="1" applyAlignment="1">
      <alignment wrapText="1"/>
    </xf>
    <xf numFmtId="0" fontId="16" fillId="4" borderId="0" xfId="0" applyFont="1" applyFill="1" applyAlignment="1">
      <alignment wrapText="1"/>
    </xf>
    <xf numFmtId="168" fontId="0" fillId="6" borderId="0" xfId="0" applyNumberFormat="1" applyFill="1" applyBorder="1" applyProtection="1">
      <protection locked="0"/>
    </xf>
    <xf numFmtId="0" fontId="17" fillId="2" borderId="6" xfId="0" applyFont="1" applyFill="1" applyBorder="1" applyAlignment="1">
      <alignment horizontal="left" wrapText="1"/>
    </xf>
    <xf numFmtId="0" fontId="0" fillId="0" borderId="1" xfId="0" applyBorder="1"/>
    <xf numFmtId="0" fontId="0" fillId="0" borderId="1" xfId="0" applyBorder="1" applyProtection="1">
      <protection locked="0"/>
    </xf>
    <xf numFmtId="0" fontId="0" fillId="2" borderId="0" xfId="0" applyFill="1" applyBorder="1"/>
    <xf numFmtId="1" fontId="0" fillId="0" borderId="1" xfId="0" applyNumberFormat="1" applyBorder="1"/>
    <xf numFmtId="0" fontId="19" fillId="0" borderId="1" xfId="0" applyFont="1" applyBorder="1"/>
    <xf numFmtId="0" fontId="19" fillId="0" borderId="0" xfId="0" applyFont="1"/>
    <xf numFmtId="0" fontId="0" fillId="2" borderId="1" xfId="0" applyFill="1" applyBorder="1" applyAlignment="1">
      <alignment horizontal="center"/>
    </xf>
    <xf numFmtId="0" fontId="0" fillId="0" borderId="1" xfId="0" applyBorder="1"/>
    <xf numFmtId="0" fontId="0" fillId="0" borderId="1" xfId="0" applyFill="1" applyBorder="1"/>
    <xf numFmtId="0" fontId="0" fillId="0" borderId="10" xfId="0" applyFill="1" applyBorder="1"/>
    <xf numFmtId="2" fontId="0" fillId="0" borderId="1" xfId="0" applyNumberFormat="1" applyBorder="1"/>
    <xf numFmtId="1" fontId="0" fillId="2" borderId="1" xfId="0" quotePrefix="1" applyNumberFormat="1" applyFill="1" applyBorder="1" applyAlignment="1">
      <alignment horizontal="center"/>
    </xf>
    <xf numFmtId="166" fontId="0" fillId="0" borderId="1" xfId="0" applyNumberFormat="1" applyBorder="1"/>
    <xf numFmtId="165" fontId="0" fillId="0" borderId="1" xfId="0" applyNumberFormat="1" applyBorder="1"/>
    <xf numFmtId="3" fontId="0" fillId="2" borderId="1" xfId="0" applyNumberFormat="1" applyFill="1" applyBorder="1" applyAlignment="1">
      <alignment horizontal="center"/>
    </xf>
    <xf numFmtId="3" fontId="0" fillId="0" borderId="1" xfId="0" applyNumberFormat="1" applyFill="1" applyBorder="1" applyAlignment="1">
      <alignment horizontal="center"/>
    </xf>
    <xf numFmtId="0" fontId="0" fillId="0" borderId="1" xfId="0" applyBorder="1"/>
    <xf numFmtId="3" fontId="0" fillId="2" borderId="1" xfId="0" applyNumberFormat="1" applyFill="1" applyBorder="1" applyAlignment="1">
      <alignment horizontal="center"/>
    </xf>
    <xf numFmtId="0" fontId="0" fillId="0" borderId="0" xfId="0" applyAlignment="1">
      <alignment horizontal="left"/>
    </xf>
    <xf numFmtId="0" fontId="0" fillId="0" borderId="1" xfId="0" applyBorder="1"/>
    <xf numFmtId="0" fontId="0" fillId="2" borderId="0" xfId="0" applyFill="1" applyBorder="1" applyAlignment="1">
      <alignment horizontal="left"/>
    </xf>
    <xf numFmtId="166" fontId="0" fillId="0" borderId="1" xfId="0" applyNumberFormat="1" applyBorder="1" applyAlignment="1">
      <alignment horizontal="right" vertical="center"/>
    </xf>
    <xf numFmtId="166" fontId="0" fillId="0" borderId="11" xfId="0" applyNumberFormat="1" applyBorder="1" applyAlignment="1">
      <alignment horizontal="right" vertical="center"/>
    </xf>
    <xf numFmtId="0" fontId="0" fillId="0" borderId="3" xfId="0" applyBorder="1" applyAlignment="1">
      <alignment horizontal="left"/>
    </xf>
    <xf numFmtId="3" fontId="0" fillId="2" borderId="1" xfId="0" quotePrefix="1" applyNumberFormat="1" applyFill="1" applyBorder="1" applyAlignment="1">
      <alignment horizontal="center"/>
    </xf>
    <xf numFmtId="0" fontId="0" fillId="2" borderId="7" xfId="0" applyFill="1" applyBorder="1" applyAlignment="1">
      <alignment horizontal="left"/>
    </xf>
    <xf numFmtId="165" fontId="0" fillId="6" borderId="8" xfId="0" applyNumberFormat="1" applyFill="1" applyBorder="1" applyProtection="1">
      <protection locked="0"/>
    </xf>
    <xf numFmtId="168" fontId="0" fillId="6" borderId="12" xfId="0" applyNumberFormat="1" applyFill="1" applyBorder="1" applyProtection="1">
      <protection locked="0"/>
    </xf>
    <xf numFmtId="1" fontId="10" fillId="2" borderId="4" xfId="0" applyNumberFormat="1" applyFont="1" applyFill="1" applyBorder="1"/>
    <xf numFmtId="0" fontId="0" fillId="2" borderId="0" xfId="0" applyFill="1" applyBorder="1" applyProtection="1">
      <protection locked="0"/>
    </xf>
    <xf numFmtId="0" fontId="0" fillId="2" borderId="8" xfId="0" applyFill="1" applyBorder="1" applyProtection="1">
      <protection locked="0"/>
    </xf>
    <xf numFmtId="1" fontId="10" fillId="2" borderId="9" xfId="0" applyNumberFormat="1" applyFont="1" applyFill="1" applyBorder="1"/>
    <xf numFmtId="4" fontId="17" fillId="0" borderId="0" xfId="0" applyNumberFormat="1" applyFont="1"/>
    <xf numFmtId="166" fontId="17" fillId="0" borderId="3" xfId="0" applyNumberFormat="1" applyFont="1" applyBorder="1"/>
    <xf numFmtId="0" fontId="4" fillId="3" borderId="0" xfId="2" applyFill="1" applyBorder="1" applyAlignment="1" applyProtection="1">
      <alignment horizontal="center"/>
      <protection locked="0"/>
    </xf>
    <xf numFmtId="0" fontId="0" fillId="3" borderId="0" xfId="0" applyFill="1" applyAlignment="1">
      <alignment horizontal="left" vertical="top" wrapText="1"/>
    </xf>
    <xf numFmtId="0" fontId="4" fillId="9" borderId="0" xfId="2" applyFill="1" applyBorder="1" applyAlignment="1">
      <alignment vertical="center"/>
    </xf>
    <xf numFmtId="0" fontId="0" fillId="10" borderId="0" xfId="0" applyFill="1" applyAlignment="1">
      <alignment horizontal="left" vertical="center" wrapText="1"/>
    </xf>
    <xf numFmtId="0" fontId="0" fillId="3" borderId="0" xfId="0" applyFill="1" applyAlignment="1">
      <alignment horizontal="left" vertical="center" wrapText="1"/>
    </xf>
    <xf numFmtId="3" fontId="0" fillId="2" borderId="1" xfId="0" applyNumberFormat="1" applyFill="1" applyBorder="1" applyAlignment="1">
      <alignment horizontal="center"/>
    </xf>
    <xf numFmtId="0" fontId="5" fillId="3" borderId="1" xfId="0" applyFont="1" applyFill="1" applyBorder="1" applyAlignment="1">
      <alignment horizontal="left" wrapText="1"/>
    </xf>
    <xf numFmtId="0" fontId="5" fillId="3" borderId="1" xfId="0" applyFont="1" applyFill="1" applyBorder="1" applyAlignment="1">
      <alignment horizontal="center" wrapText="1"/>
    </xf>
    <xf numFmtId="0" fontId="5" fillId="3" borderId="1" xfId="0" applyFont="1" applyFill="1" applyBorder="1" applyAlignment="1">
      <alignment horizontal="left"/>
    </xf>
    <xf numFmtId="0" fontId="0" fillId="4" borderId="0" xfId="0" applyFill="1" applyAlignment="1">
      <alignment horizontal="center"/>
    </xf>
    <xf numFmtId="0" fontId="5" fillId="3" borderId="14" xfId="0" applyFont="1" applyFill="1" applyBorder="1" applyAlignment="1">
      <alignment horizontal="left"/>
    </xf>
    <xf numFmtId="0" fontId="0" fillId="2" borderId="10" xfId="0" applyFill="1" applyBorder="1" applyAlignment="1">
      <alignment horizontal="left" vertical="top" wrapText="1"/>
    </xf>
    <xf numFmtId="0" fontId="0" fillId="2" borderId="1" xfId="0" applyFill="1" applyBorder="1" applyAlignment="1">
      <alignment horizontal="left"/>
    </xf>
    <xf numFmtId="0" fontId="5" fillId="5" borderId="0" xfId="0" applyFont="1" applyFill="1" applyAlignment="1">
      <alignment horizontal="center"/>
    </xf>
    <xf numFmtId="0" fontId="0" fillId="6" borderId="1" xfId="0" applyFill="1" applyBorder="1" applyAlignment="1" applyProtection="1">
      <alignment horizontal="right"/>
      <protection locked="0"/>
    </xf>
    <xf numFmtId="0" fontId="0" fillId="2" borderId="1" xfId="0" applyFill="1" applyBorder="1" applyAlignment="1">
      <alignment horizontal="center"/>
    </xf>
    <xf numFmtId="0" fontId="0" fillId="0" borderId="3" xfId="0" applyBorder="1" applyAlignment="1">
      <alignment horizontal="left" vertical="center"/>
    </xf>
    <xf numFmtId="0" fontId="0" fillId="0" borderId="1" xfId="0" applyBorder="1"/>
    <xf numFmtId="0" fontId="0" fillId="0" borderId="0" xfId="0" applyAlignment="1">
      <alignment horizontal="left" vertical="center"/>
    </xf>
    <xf numFmtId="0" fontId="0" fillId="0" borderId="7" xfId="0" applyBorder="1" applyAlignment="1">
      <alignment horizontal="left" vertical="center"/>
    </xf>
    <xf numFmtId="0" fontId="0" fillId="0" borderId="0" xfId="0" applyAlignment="1">
      <alignment horizontal="left" vertical="center" wrapText="1"/>
    </xf>
    <xf numFmtId="170" fontId="0" fillId="0" borderId="1" xfId="0" applyNumberFormat="1" applyBorder="1" applyAlignment="1">
      <alignment horizontal="center" vertical="center"/>
    </xf>
    <xf numFmtId="0" fontId="0" fillId="0" borderId="1" xfId="0" applyBorder="1" applyAlignment="1">
      <alignment horizontal="left"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1" xfId="0" applyBorder="1" applyAlignment="1">
      <alignment horizontal="left"/>
    </xf>
    <xf numFmtId="0" fontId="5" fillId="0" borderId="0" xfId="0" applyFont="1" applyAlignment="1">
      <alignment horizontal="center" vertical="center"/>
    </xf>
    <xf numFmtId="168" fontId="5" fillId="0" borderId="1" xfId="0" applyNumberFormat="1" applyFont="1" applyBorder="1" applyAlignment="1">
      <alignment horizontal="center" vertical="center" wrapText="1"/>
    </xf>
    <xf numFmtId="0" fontId="0" fillId="0" borderId="13" xfId="0" applyBorder="1" applyAlignment="1">
      <alignment horizontal="center"/>
    </xf>
    <xf numFmtId="0" fontId="0" fillId="0" borderId="8" xfId="0" applyBorder="1" applyAlignment="1">
      <alignment horizontal="left" vertical="center"/>
    </xf>
    <xf numFmtId="0" fontId="0" fillId="0" borderId="5" xfId="0" applyBorder="1" applyAlignment="1">
      <alignment horizontal="left"/>
    </xf>
    <xf numFmtId="0" fontId="0" fillId="0" borderId="0" xfId="0" applyAlignment="1">
      <alignment horizontal="left"/>
    </xf>
    <xf numFmtId="0" fontId="19" fillId="0" borderId="0" xfId="0" applyFont="1" applyAlignment="1">
      <alignment horizontal="left" vertical="center"/>
    </xf>
    <xf numFmtId="0" fontId="0" fillId="0" borderId="1" xfId="0" applyBorder="1" applyAlignment="1">
      <alignment horizontal="center"/>
    </xf>
  </cellXfs>
  <cellStyles count="4">
    <cellStyle name="Ergebnis 2" xfId="3" xr:uid="{00000000-0005-0000-0000-000000000000}"/>
    <cellStyle name="Link" xfId="2" builtinId="8"/>
    <cellStyle name="Prozent" xfId="1" builtinId="5"/>
    <cellStyle name="Standard" xfId="0" builtinId="0"/>
  </cellStyles>
  <dxfs count="35">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ill>
        <patternFill>
          <bgColor rgb="FFFF0000"/>
        </patternFill>
      </fill>
    </dxf>
    <dxf>
      <font>
        <color theme="1"/>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
      <font>
        <sz val="11"/>
        <color rgb="FF000000"/>
        <name val="Calibri"/>
      </font>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EECE1"/>
      <rgbColor rgb="FFCCFFFF"/>
      <rgbColor rgb="FF660066"/>
      <rgbColor rgb="FFFF8080"/>
      <rgbColor rgb="FF0066CC"/>
      <rgbColor rgb="FFD9D9D9"/>
      <rgbColor rgb="FF000080"/>
      <rgbColor rgb="FFFF00FF"/>
      <rgbColor rgb="FFFFF200"/>
      <rgbColor rgb="FF00FFFF"/>
      <rgbColor rgb="FF800080"/>
      <rgbColor rgb="FF800000"/>
      <rgbColor rgb="FF008080"/>
      <rgbColor rgb="FF0000FF"/>
      <rgbColor rgb="FF00CCFF"/>
      <rgbColor rgb="FFCCFFFF"/>
      <rgbColor rgb="FF99FF66"/>
      <rgbColor rgb="FFFFFF99"/>
      <rgbColor rgb="FF99CCFF"/>
      <rgbColor rgb="FFFF99CC"/>
      <rgbColor rgb="FFCC99FF"/>
      <rgbColor rgb="FFFFCC99"/>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6</xdr:col>
      <xdr:colOff>118080</xdr:colOff>
      <xdr:row>62</xdr:row>
      <xdr:rowOff>360</xdr:rowOff>
    </xdr:from>
    <xdr:to>
      <xdr:col>9</xdr:col>
      <xdr:colOff>72360</xdr:colOff>
      <xdr:row>68</xdr:row>
      <xdr:rowOff>47820</xdr:rowOff>
    </xdr:to>
    <xdr:pic>
      <xdr:nvPicPr>
        <xdr:cNvPr id="2" name="Bild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tretch/>
      </xdr:blipFill>
      <xdr:spPr>
        <a:xfrm>
          <a:off x="8278920" y="11783160"/>
          <a:ext cx="2325960" cy="1190520"/>
        </a:xfrm>
        <a:prstGeom prst="rect">
          <a:avLst/>
        </a:prstGeom>
        <a:ln w="0">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iwu.de/fileadmin/user_upload/dateien/energie/15_08_10_Kostenstudie_Bericht_-_Barrierefrei_-_neu.pdf" TargetMode="External"/><Relationship Id="rId1" Type="http://schemas.openxmlformats.org/officeDocument/2006/relationships/hyperlink" Target="http://www.solaroffice.de/downloads"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sirados.de/sirados-ortsfaktoren-gratis-download" TargetMode="External"/><Relationship Id="rId1" Type="http://schemas.openxmlformats.org/officeDocument/2006/relationships/hyperlink" Target="https://www.destatis.de/DE/Themen/Wirtschaft/Konjunkturindikatoren/Preise/bpr110.html"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tzwl.de/endkunden/infoportal-wohnungslueftung/10-fragen-zu-l&#252;ftung" TargetMode="External"/><Relationship Id="rId1" Type="http://schemas.openxmlformats.org/officeDocument/2006/relationships/hyperlink" Target="http://www.asue.de/blockheizkraftwerke/broschueren/05_10_14_bhkw-kenndaten_2014-15"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29"/>
  <sheetViews>
    <sheetView tabSelected="1" zoomScaleNormal="100" workbookViewId="0">
      <selection activeCell="Y39" sqref="Y39"/>
    </sheetView>
  </sheetViews>
  <sheetFormatPr baseColWidth="10" defaultRowHeight="15" x14ac:dyDescent="0.25"/>
  <cols>
    <col min="1" max="1" width="4.5703125" customWidth="1"/>
    <col min="19" max="19" width="4.5703125" customWidth="1"/>
  </cols>
  <sheetData>
    <row r="1" spans="1:19" ht="15.95" customHeight="1" x14ac:dyDescent="0.25">
      <c r="A1" s="8"/>
      <c r="B1" s="8"/>
      <c r="C1" s="8"/>
      <c r="D1" s="8"/>
      <c r="E1" s="8"/>
      <c r="F1" s="8"/>
      <c r="G1" s="8"/>
      <c r="H1" s="8"/>
      <c r="I1" s="8"/>
      <c r="J1" s="8"/>
      <c r="K1" s="8"/>
      <c r="L1" s="8"/>
      <c r="M1" s="8"/>
      <c r="N1" s="8"/>
      <c r="O1" s="8"/>
      <c r="P1" s="8"/>
      <c r="Q1" s="8"/>
      <c r="R1" s="8"/>
      <c r="S1" s="8"/>
    </row>
    <row r="2" spans="1:19" ht="18.75" x14ac:dyDescent="0.3">
      <c r="A2" s="8"/>
      <c r="B2" s="7" t="s">
        <v>0</v>
      </c>
      <c r="C2" s="8"/>
      <c r="D2" s="8"/>
      <c r="E2" s="8"/>
      <c r="F2" s="8"/>
      <c r="G2" s="8"/>
      <c r="H2" s="8"/>
      <c r="I2" s="8"/>
      <c r="J2" s="8"/>
      <c r="K2" s="8"/>
      <c r="L2" s="8"/>
      <c r="M2" s="8"/>
      <c r="N2" s="8"/>
      <c r="O2" s="8"/>
      <c r="P2" s="8"/>
      <c r="Q2" s="8"/>
      <c r="R2" s="8"/>
      <c r="S2" s="8"/>
    </row>
    <row r="3" spans="1:19" ht="15.95" customHeight="1" x14ac:dyDescent="0.25">
      <c r="A3" s="8"/>
      <c r="B3" s="8"/>
      <c r="C3" s="8"/>
      <c r="D3" s="8"/>
      <c r="E3" s="8"/>
      <c r="F3" s="8"/>
      <c r="G3" s="8"/>
      <c r="H3" s="8"/>
      <c r="I3" s="8"/>
      <c r="J3" s="8"/>
      <c r="K3" s="8"/>
      <c r="L3" s="8"/>
      <c r="M3" s="8"/>
      <c r="N3" s="8"/>
      <c r="O3" s="8"/>
      <c r="P3" s="8"/>
      <c r="Q3" s="8"/>
      <c r="R3" s="8"/>
      <c r="S3" s="8"/>
    </row>
    <row r="4" spans="1:19" ht="15.95" customHeight="1" x14ac:dyDescent="0.25">
      <c r="A4" s="8"/>
      <c r="B4" s="8" t="s">
        <v>1</v>
      </c>
      <c r="C4" s="8"/>
      <c r="D4" s="8"/>
      <c r="E4" s="8"/>
      <c r="F4" s="8"/>
      <c r="G4" s="8"/>
      <c r="H4" s="8"/>
      <c r="I4" s="8"/>
      <c r="J4" s="8"/>
      <c r="K4" s="8"/>
      <c r="L4" s="8"/>
      <c r="M4" s="8"/>
      <c r="N4" s="8"/>
      <c r="O4" s="8"/>
      <c r="P4" s="8"/>
      <c r="Q4" s="8"/>
      <c r="R4" s="8"/>
      <c r="S4" s="8"/>
    </row>
    <row r="5" spans="1:19" ht="15.95" customHeight="1" x14ac:dyDescent="0.25">
      <c r="A5" s="8"/>
      <c r="B5" s="9" t="s">
        <v>291</v>
      </c>
      <c r="C5" s="8"/>
      <c r="D5" s="8"/>
      <c r="E5" s="8"/>
      <c r="F5" s="8"/>
      <c r="G5" s="8"/>
      <c r="H5" s="116"/>
      <c r="I5" s="116"/>
      <c r="J5" s="116"/>
      <c r="K5" s="8"/>
      <c r="L5" s="155" t="s">
        <v>2</v>
      </c>
      <c r="M5" s="155"/>
      <c r="N5" s="155"/>
      <c r="O5" s="8"/>
      <c r="P5" s="8"/>
      <c r="Q5" s="8"/>
      <c r="R5" s="8"/>
      <c r="S5" s="8"/>
    </row>
    <row r="6" spans="1:19" ht="15.95" customHeight="1" x14ac:dyDescent="0.25">
      <c r="A6" s="8"/>
      <c r="B6" s="8"/>
      <c r="C6" s="8"/>
      <c r="D6" s="8"/>
      <c r="E6" s="8"/>
      <c r="F6" s="8"/>
      <c r="G6" s="8"/>
      <c r="H6" s="8"/>
      <c r="I6" s="8"/>
      <c r="J6" s="8"/>
      <c r="K6" s="8"/>
      <c r="L6" s="8"/>
      <c r="M6" s="8"/>
      <c r="N6" s="8"/>
      <c r="O6" s="8"/>
      <c r="P6" s="8"/>
      <c r="Q6" s="8"/>
      <c r="R6" s="8"/>
      <c r="S6" s="8"/>
    </row>
    <row r="7" spans="1:19" ht="15.95" customHeight="1" x14ac:dyDescent="0.25">
      <c r="A7" s="8"/>
      <c r="B7" s="10" t="s">
        <v>321</v>
      </c>
      <c r="C7" s="8"/>
      <c r="D7" s="8"/>
      <c r="E7" s="8"/>
      <c r="F7" s="8"/>
      <c r="G7" s="8"/>
      <c r="H7" s="8"/>
      <c r="I7" s="8"/>
      <c r="J7" s="8"/>
      <c r="K7" s="8"/>
      <c r="L7" s="8"/>
      <c r="M7" s="8"/>
      <c r="N7" s="8"/>
      <c r="O7" s="8"/>
      <c r="P7" s="8"/>
      <c r="Q7" s="8"/>
      <c r="R7" s="8"/>
      <c r="S7" s="8"/>
    </row>
    <row r="8" spans="1:19" ht="15.95" customHeight="1" x14ac:dyDescent="0.25">
      <c r="A8" s="8"/>
      <c r="B8" s="8"/>
      <c r="C8" s="8"/>
      <c r="D8" s="8"/>
      <c r="E8" s="8"/>
      <c r="F8" s="8"/>
      <c r="G8" s="8"/>
      <c r="H8" s="8"/>
      <c r="I8" s="8"/>
      <c r="J8" s="8"/>
      <c r="K8" s="8"/>
      <c r="L8" s="8"/>
      <c r="M8" s="8"/>
      <c r="N8" s="8"/>
      <c r="O8" s="8"/>
      <c r="P8" s="8"/>
      <c r="Q8" s="8"/>
      <c r="R8" s="8"/>
      <c r="S8" s="8"/>
    </row>
    <row r="9" spans="1:19" ht="15.95" customHeight="1" x14ac:dyDescent="0.25">
      <c r="A9" s="8"/>
      <c r="B9" s="10" t="s">
        <v>3</v>
      </c>
      <c r="C9" s="8"/>
      <c r="D9" s="8"/>
      <c r="E9" s="8"/>
      <c r="F9" s="8"/>
      <c r="G9" s="8"/>
      <c r="H9" s="8"/>
      <c r="I9" s="8"/>
      <c r="J9" s="8"/>
      <c r="K9" s="8"/>
      <c r="L9" s="8"/>
      <c r="M9" s="8"/>
      <c r="N9" s="8"/>
      <c r="O9" s="8"/>
      <c r="P9" s="8"/>
      <c r="Q9" s="8"/>
      <c r="R9" s="8"/>
      <c r="S9" s="8"/>
    </row>
    <row r="10" spans="1:19" ht="15.95" customHeight="1" x14ac:dyDescent="0.25">
      <c r="A10" s="8"/>
      <c r="B10" s="8" t="s">
        <v>4</v>
      </c>
      <c r="C10" s="8"/>
      <c r="D10" s="8"/>
      <c r="E10" s="8"/>
      <c r="F10" s="8"/>
      <c r="G10" s="8"/>
      <c r="H10" s="8"/>
      <c r="I10" s="8"/>
      <c r="J10" s="8"/>
      <c r="K10" s="8"/>
      <c r="L10" s="8"/>
      <c r="M10" s="8"/>
      <c r="N10" s="8"/>
      <c r="O10" s="8"/>
      <c r="P10" s="8"/>
      <c r="Q10" s="8"/>
      <c r="R10" s="8"/>
      <c r="S10" s="8"/>
    </row>
    <row r="11" spans="1:19" ht="15.95" customHeight="1" x14ac:dyDescent="0.25">
      <c r="A11" s="8"/>
      <c r="B11" s="8"/>
      <c r="C11" s="8"/>
      <c r="D11" s="8"/>
      <c r="E11" s="8"/>
      <c r="F11" s="8"/>
      <c r="G11" s="8"/>
      <c r="H11" s="8"/>
      <c r="I11" s="8"/>
      <c r="J11" s="8"/>
      <c r="K11" s="8"/>
      <c r="L11" s="8"/>
      <c r="M11" s="8"/>
      <c r="N11" s="8"/>
      <c r="O11" s="8"/>
      <c r="P11" s="8"/>
      <c r="Q11" s="8"/>
      <c r="R11" s="8"/>
      <c r="S11" s="8"/>
    </row>
    <row r="12" spans="1:19" ht="15.95" customHeight="1" x14ac:dyDescent="0.25">
      <c r="A12" s="8"/>
      <c r="B12" s="10" t="s">
        <v>5</v>
      </c>
      <c r="C12" s="8"/>
      <c r="D12" s="8"/>
      <c r="E12" s="8"/>
      <c r="F12" s="8"/>
      <c r="G12" s="8"/>
      <c r="H12" s="8"/>
      <c r="I12" s="8"/>
      <c r="J12" s="8"/>
      <c r="K12" s="8"/>
      <c r="L12" s="8"/>
      <c r="M12" s="8"/>
      <c r="N12" s="8"/>
      <c r="O12" s="8"/>
      <c r="P12" s="8"/>
      <c r="Q12" s="8"/>
      <c r="R12" s="8"/>
      <c r="S12" s="8"/>
    </row>
    <row r="13" spans="1:19" ht="63" customHeight="1" x14ac:dyDescent="0.25">
      <c r="A13" s="8"/>
      <c r="B13" s="156" t="s">
        <v>319</v>
      </c>
      <c r="C13" s="156"/>
      <c r="D13" s="156"/>
      <c r="E13" s="156"/>
      <c r="F13" s="156"/>
      <c r="G13" s="156"/>
      <c r="H13" s="156"/>
      <c r="I13" s="156"/>
      <c r="J13" s="156"/>
      <c r="K13" s="156"/>
      <c r="L13" s="156"/>
      <c r="M13" s="156"/>
      <c r="N13" s="156"/>
      <c r="O13" s="156"/>
      <c r="P13" s="156"/>
      <c r="Q13" s="156"/>
      <c r="R13" s="156"/>
      <c r="S13" s="11"/>
    </row>
    <row r="14" spans="1:19" x14ac:dyDescent="0.25">
      <c r="A14" s="8"/>
      <c r="B14" s="157" t="s">
        <v>289</v>
      </c>
      <c r="C14" s="158"/>
      <c r="D14" s="158"/>
      <c r="E14" s="158"/>
      <c r="F14" s="158"/>
      <c r="G14" s="158"/>
      <c r="H14" s="158"/>
      <c r="I14" s="158"/>
      <c r="J14" s="158"/>
      <c r="K14" s="158"/>
      <c r="L14" s="159" t="s">
        <v>322</v>
      </c>
      <c r="M14" s="159"/>
      <c r="N14" s="159"/>
      <c r="O14" s="5"/>
      <c r="P14" s="5"/>
      <c r="Q14" s="5"/>
      <c r="R14" s="5"/>
      <c r="S14" s="115"/>
    </row>
    <row r="15" spans="1:19" ht="79.5" customHeight="1" x14ac:dyDescent="0.25">
      <c r="A15" s="8"/>
      <c r="B15" s="156" t="s">
        <v>310</v>
      </c>
      <c r="C15" s="156"/>
      <c r="D15" s="156"/>
      <c r="E15" s="156"/>
      <c r="F15" s="156"/>
      <c r="G15" s="156"/>
      <c r="H15" s="156"/>
      <c r="I15" s="156"/>
      <c r="J15" s="156"/>
      <c r="K15" s="156"/>
      <c r="L15" s="156"/>
      <c r="M15" s="156"/>
      <c r="N15" s="156"/>
      <c r="O15" s="156"/>
      <c r="P15" s="156"/>
      <c r="Q15" s="156"/>
      <c r="R15" s="156"/>
      <c r="S15" s="11"/>
    </row>
    <row r="16" spans="1:19" x14ac:dyDescent="0.25">
      <c r="A16" s="8"/>
      <c r="B16" s="8"/>
      <c r="C16" s="8"/>
      <c r="D16" s="8"/>
      <c r="E16" s="8"/>
      <c r="F16" s="8"/>
      <c r="G16" s="8"/>
      <c r="H16" s="8"/>
      <c r="I16" s="8"/>
      <c r="J16" s="8"/>
      <c r="K16" s="8"/>
      <c r="L16" s="8"/>
      <c r="M16" s="8"/>
      <c r="N16" s="8"/>
      <c r="O16" s="8"/>
      <c r="P16" s="8"/>
      <c r="Q16" s="8"/>
      <c r="R16" s="8"/>
      <c r="S16" s="8"/>
    </row>
    <row r="17" spans="1:19" x14ac:dyDescent="0.25">
      <c r="A17" s="8"/>
      <c r="B17" s="10" t="s">
        <v>6</v>
      </c>
      <c r="C17" s="8"/>
      <c r="D17" s="8"/>
      <c r="E17" s="8"/>
      <c r="F17" s="8"/>
      <c r="G17" s="8"/>
      <c r="H17" s="8"/>
      <c r="I17" s="8"/>
      <c r="J17" s="8"/>
      <c r="K17" s="8"/>
      <c r="L17" s="8"/>
      <c r="M17" s="8"/>
      <c r="N17" s="8"/>
      <c r="O17" s="8"/>
      <c r="P17" s="8"/>
      <c r="Q17" s="8"/>
      <c r="R17" s="8"/>
      <c r="S17" s="8"/>
    </row>
    <row r="18" spans="1:19" ht="34.5" customHeight="1" x14ac:dyDescent="0.25">
      <c r="A18" s="8"/>
      <c r="B18" s="156" t="s">
        <v>320</v>
      </c>
      <c r="C18" s="156"/>
      <c r="D18" s="156"/>
      <c r="E18" s="156"/>
      <c r="F18" s="156"/>
      <c r="G18" s="156"/>
      <c r="H18" s="156"/>
      <c r="I18" s="156"/>
      <c r="J18" s="156"/>
      <c r="K18" s="156"/>
      <c r="L18" s="156"/>
      <c r="M18" s="156"/>
      <c r="N18" s="156"/>
      <c r="O18" s="156"/>
      <c r="P18" s="156"/>
      <c r="Q18" s="156"/>
      <c r="R18" s="156"/>
      <c r="S18" s="11"/>
    </row>
    <row r="19" spans="1:19" ht="15.95" customHeight="1" x14ac:dyDescent="0.25">
      <c r="A19" s="8"/>
      <c r="B19" s="8"/>
      <c r="C19" s="8"/>
      <c r="D19" s="8"/>
      <c r="E19" s="8"/>
      <c r="F19" s="8"/>
      <c r="G19" s="8"/>
      <c r="H19" s="8"/>
      <c r="I19" s="8"/>
      <c r="J19" s="8"/>
      <c r="K19" s="8"/>
      <c r="L19" s="8"/>
      <c r="M19" s="8"/>
      <c r="N19" s="8"/>
      <c r="O19" s="8"/>
      <c r="P19" s="8"/>
      <c r="Q19" s="8"/>
      <c r="R19" s="8"/>
      <c r="S19" s="8"/>
    </row>
    <row r="20" spans="1:19" ht="15.95" customHeight="1" x14ac:dyDescent="0.25">
      <c r="A20" s="8"/>
      <c r="B20" s="10" t="s">
        <v>7</v>
      </c>
      <c r="C20" s="8"/>
      <c r="D20" s="8"/>
      <c r="E20" s="8"/>
      <c r="F20" s="8"/>
      <c r="G20" s="8"/>
      <c r="H20" s="8"/>
      <c r="I20" s="8"/>
      <c r="J20" s="8"/>
      <c r="K20" s="8"/>
      <c r="L20" s="8"/>
      <c r="M20" s="8"/>
      <c r="N20" s="8"/>
      <c r="O20" s="8"/>
      <c r="P20" s="8"/>
      <c r="Q20" s="8"/>
      <c r="R20" s="8"/>
      <c r="S20" s="8"/>
    </row>
    <row r="21" spans="1:19" ht="15.95" customHeight="1" x14ac:dyDescent="0.25">
      <c r="A21" s="8"/>
      <c r="B21" s="8" t="s">
        <v>8</v>
      </c>
      <c r="C21" s="8"/>
      <c r="D21" s="8"/>
      <c r="E21" s="8"/>
      <c r="F21" s="8"/>
      <c r="G21" s="8"/>
      <c r="H21" s="8"/>
      <c r="I21" s="8"/>
      <c r="J21" s="8"/>
      <c r="K21" s="8"/>
      <c r="L21" s="8"/>
      <c r="M21" s="8"/>
      <c r="N21" s="8"/>
      <c r="O21" s="8"/>
      <c r="P21" s="8"/>
      <c r="Q21" s="8"/>
      <c r="R21" s="8"/>
      <c r="S21" s="8"/>
    </row>
    <row r="22" spans="1:19" ht="15.95" customHeight="1" x14ac:dyDescent="0.25">
      <c r="A22" s="8"/>
      <c r="B22" s="8" t="s">
        <v>323</v>
      </c>
      <c r="C22" s="8"/>
      <c r="D22" s="8"/>
      <c r="E22" s="8"/>
      <c r="F22" s="8"/>
      <c r="G22" s="8"/>
      <c r="H22" s="8"/>
      <c r="I22" s="8"/>
      <c r="J22" s="8"/>
      <c r="K22" s="8"/>
      <c r="L22" s="8"/>
      <c r="M22" s="8"/>
      <c r="N22" s="8"/>
      <c r="O22" s="8"/>
      <c r="P22" s="8"/>
      <c r="Q22" s="8"/>
      <c r="R22" s="8"/>
      <c r="S22" s="8"/>
    </row>
    <row r="23" spans="1:19" ht="15.95" customHeight="1" x14ac:dyDescent="0.25">
      <c r="A23" s="8"/>
      <c r="B23" s="8" t="s">
        <v>9</v>
      </c>
      <c r="C23" s="8"/>
      <c r="D23" s="8"/>
      <c r="E23" s="8"/>
      <c r="F23" s="8"/>
      <c r="G23" s="8"/>
      <c r="H23" s="8"/>
      <c r="I23" s="8"/>
      <c r="J23" s="8"/>
      <c r="K23" s="8"/>
      <c r="L23" s="8"/>
      <c r="M23" s="8"/>
      <c r="N23" s="8"/>
      <c r="O23" s="8"/>
      <c r="P23" s="8"/>
      <c r="Q23" s="8"/>
      <c r="R23" s="8"/>
      <c r="S23" s="8"/>
    </row>
    <row r="24" spans="1:19" ht="15.95" customHeight="1" x14ac:dyDescent="0.25">
      <c r="A24" s="8"/>
      <c r="B24" s="8" t="s">
        <v>324</v>
      </c>
      <c r="C24" s="8"/>
      <c r="D24" s="8"/>
      <c r="E24" s="8"/>
      <c r="F24" s="8"/>
      <c r="G24" s="8"/>
      <c r="H24" s="8"/>
      <c r="I24" s="8"/>
      <c r="J24" s="8"/>
      <c r="K24" s="8"/>
      <c r="L24" s="8"/>
      <c r="M24" s="8"/>
      <c r="N24" s="8"/>
      <c r="O24" s="8"/>
      <c r="P24" s="8"/>
      <c r="Q24" s="8"/>
      <c r="R24" s="8"/>
      <c r="S24" s="8"/>
    </row>
    <row r="25" spans="1:19" ht="15.95" customHeight="1" x14ac:dyDescent="0.25">
      <c r="A25" s="8"/>
      <c r="B25" s="8" t="s">
        <v>292</v>
      </c>
      <c r="C25" s="8"/>
      <c r="D25" s="8"/>
      <c r="E25" s="8"/>
      <c r="F25" s="8"/>
      <c r="G25" s="8"/>
      <c r="H25" s="8"/>
      <c r="I25" s="8"/>
      <c r="J25" s="8"/>
      <c r="K25" s="8"/>
      <c r="L25" s="8"/>
      <c r="M25" s="8"/>
      <c r="N25" s="8"/>
      <c r="O25" s="8"/>
      <c r="P25" s="8"/>
      <c r="Q25" s="8"/>
      <c r="R25" s="8"/>
      <c r="S25" s="8"/>
    </row>
    <row r="26" spans="1:19" ht="15.95" customHeight="1" x14ac:dyDescent="0.25">
      <c r="A26" s="8"/>
      <c r="B26" s="8"/>
      <c r="C26" s="8"/>
      <c r="D26" s="8"/>
      <c r="E26" s="8"/>
      <c r="F26" s="8"/>
      <c r="G26" s="8"/>
      <c r="H26" s="8"/>
      <c r="I26" s="8"/>
      <c r="J26" s="8"/>
      <c r="K26" s="8"/>
      <c r="L26" s="8"/>
      <c r="M26" s="8"/>
      <c r="N26" s="8"/>
      <c r="O26" s="8"/>
      <c r="P26" s="8"/>
      <c r="Q26" s="8"/>
      <c r="R26" s="8"/>
      <c r="S26" s="8"/>
    </row>
    <row r="27" spans="1:19" ht="15.95" customHeight="1" x14ac:dyDescent="0.25">
      <c r="A27" s="8"/>
      <c r="B27" s="10" t="s">
        <v>10</v>
      </c>
      <c r="C27" s="8"/>
      <c r="D27" s="8"/>
      <c r="E27" s="8"/>
      <c r="F27" s="8"/>
      <c r="G27" s="8"/>
      <c r="H27" s="8"/>
      <c r="I27" s="8"/>
      <c r="J27" s="8"/>
      <c r="K27" s="8"/>
      <c r="L27" s="8"/>
      <c r="M27" s="8"/>
      <c r="N27" s="8"/>
      <c r="O27" s="8"/>
      <c r="P27" s="8"/>
      <c r="Q27" s="8"/>
      <c r="R27" s="8"/>
      <c r="S27" s="8"/>
    </row>
    <row r="28" spans="1:19" ht="15.95" customHeight="1" x14ac:dyDescent="0.25">
      <c r="A28" s="8"/>
      <c r="B28" s="8" t="s">
        <v>11</v>
      </c>
      <c r="C28" s="8"/>
      <c r="D28" s="8"/>
      <c r="E28" s="8"/>
      <c r="F28" s="8"/>
      <c r="G28" s="8"/>
      <c r="H28" s="8"/>
      <c r="I28" s="8"/>
      <c r="J28" s="8"/>
      <c r="K28" s="8"/>
      <c r="L28" s="8"/>
      <c r="M28" s="8"/>
      <c r="N28" s="8"/>
      <c r="O28" s="8"/>
      <c r="P28" s="8"/>
      <c r="Q28" s="8"/>
      <c r="R28" s="8"/>
      <c r="S28" s="8"/>
    </row>
    <row r="29" spans="1:19" ht="15.95" customHeight="1" x14ac:dyDescent="0.25">
      <c r="A29" s="8"/>
      <c r="B29" s="8"/>
      <c r="C29" s="8"/>
      <c r="D29" s="8"/>
      <c r="E29" s="8"/>
      <c r="F29" s="8"/>
      <c r="G29" s="8"/>
      <c r="H29" s="8"/>
      <c r="I29" s="8"/>
      <c r="J29" s="8"/>
      <c r="K29" s="8"/>
      <c r="L29" s="8"/>
      <c r="M29" s="8"/>
      <c r="N29" s="8"/>
      <c r="O29" s="8"/>
      <c r="P29" s="8"/>
      <c r="Q29" s="8"/>
      <c r="R29" s="8"/>
      <c r="S29" s="8"/>
    </row>
  </sheetData>
  <sheetProtection algorithmName="SHA-512" hashValue="OaUWrQO7yWMPWd1L+oagbWXzBSmZ/xxUJgOv0vIwh/xebPHBb42lW/mQBARah4SM/7Td+e1KVZg97mRSGA+PYQ==" saltValue="yGwH+TyvenbTxY9cuw1VjA==" spinCount="100000" sheet="1" objects="1" scenarios="1"/>
  <mergeCells count="6">
    <mergeCell ref="L5:N5"/>
    <mergeCell ref="B13:R13"/>
    <mergeCell ref="B14:K14"/>
    <mergeCell ref="B15:R15"/>
    <mergeCell ref="B18:R18"/>
    <mergeCell ref="L14:N14"/>
  </mergeCells>
  <hyperlinks>
    <hyperlink ref="L5" r:id="rId1" xr:uid="{00000000-0004-0000-0000-000000000000}"/>
    <hyperlink ref="B14" r:id="rId2" xr:uid="{00000000-0004-0000-0000-000001000000}"/>
  </hyperlinks>
  <pageMargins left="0.7" right="0.7" top="0.78740157499999996" bottom="0.78740157499999996" header="0.3" footer="0.3"/>
  <pageSetup paperSize="9" orientation="portrait"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129"/>
  <sheetViews>
    <sheetView topLeftCell="A3" zoomScale="95" zoomScaleNormal="95" workbookViewId="0">
      <selection activeCell="C13" sqref="C13"/>
    </sheetView>
  </sheetViews>
  <sheetFormatPr baseColWidth="10" defaultColWidth="10.5703125" defaultRowHeight="15" x14ac:dyDescent="0.25"/>
  <cols>
    <col min="1" max="1" width="4.5703125" customWidth="1"/>
    <col min="2" max="2" width="30.28515625" style="12" customWidth="1"/>
    <col min="3" max="3" width="7.140625" style="12" customWidth="1"/>
    <col min="4" max="4" width="17.42578125" style="12" customWidth="1"/>
    <col min="5" max="5" width="8.28515625" style="12" customWidth="1"/>
    <col min="6" max="6" width="49.42578125" customWidth="1"/>
    <col min="7" max="7" width="25.42578125" customWidth="1"/>
    <col min="8" max="8" width="25.28515625" customWidth="1"/>
    <col min="9" max="9" width="25.28515625" style="13" customWidth="1"/>
    <col min="10" max="10" width="25.42578125" style="13" customWidth="1"/>
    <col min="11" max="11" width="14" customWidth="1"/>
    <col min="12" max="12" width="22.28515625" customWidth="1"/>
    <col min="13" max="13" width="18.140625" customWidth="1"/>
    <col min="14" max="14" width="2.85546875" customWidth="1"/>
    <col min="15" max="15" width="26.7109375" customWidth="1"/>
    <col min="16" max="16" width="14" customWidth="1"/>
    <col min="17" max="24" width="11.140625" customWidth="1"/>
  </cols>
  <sheetData>
    <row r="1" spans="1:14" ht="15.95" customHeight="1" x14ac:dyDescent="0.25">
      <c r="A1" s="14"/>
      <c r="B1" s="14"/>
      <c r="C1" s="14"/>
      <c r="D1" s="14"/>
      <c r="E1" s="14"/>
      <c r="F1" s="14"/>
      <c r="G1" s="14"/>
      <c r="H1" s="14"/>
      <c r="I1" s="15"/>
      <c r="J1" s="15"/>
      <c r="K1" s="14"/>
      <c r="L1" s="14"/>
      <c r="M1" s="14"/>
      <c r="N1" s="14"/>
    </row>
    <row r="2" spans="1:14" ht="15.95" customHeight="1" x14ac:dyDescent="0.25">
      <c r="A2" s="14"/>
      <c r="B2" s="163" t="s">
        <v>12</v>
      </c>
      <c r="C2" s="163"/>
      <c r="D2" s="163"/>
      <c r="E2" s="163"/>
      <c r="F2" s="14"/>
      <c r="G2" s="168" t="s">
        <v>337</v>
      </c>
      <c r="H2" s="168"/>
      <c r="I2" s="168"/>
      <c r="J2" s="168" t="s">
        <v>325</v>
      </c>
      <c r="K2" s="168"/>
      <c r="L2" s="168"/>
      <c r="M2" s="168"/>
      <c r="N2" s="14"/>
    </row>
    <row r="3" spans="1:14" ht="15.95" customHeight="1" x14ac:dyDescent="0.25">
      <c r="A3" s="14"/>
      <c r="B3" s="16" t="s">
        <v>13</v>
      </c>
      <c r="C3" s="169">
        <v>150</v>
      </c>
      <c r="D3" s="169"/>
      <c r="E3" s="16" t="s">
        <v>14</v>
      </c>
      <c r="F3" s="14"/>
      <c r="G3" s="14"/>
      <c r="H3" s="14"/>
      <c r="I3" s="15"/>
      <c r="J3" s="15"/>
      <c r="K3" s="14"/>
      <c r="L3" s="14"/>
      <c r="M3" s="14"/>
      <c r="N3" s="14"/>
    </row>
    <row r="4" spans="1:14" ht="15.95" customHeight="1" x14ac:dyDescent="0.25">
      <c r="A4" s="14"/>
      <c r="B4" s="16" t="s">
        <v>15</v>
      </c>
      <c r="C4" s="169">
        <v>1</v>
      </c>
      <c r="D4" s="169"/>
      <c r="E4" s="16" t="s">
        <v>16</v>
      </c>
      <c r="F4" s="14"/>
      <c r="G4" s="17" t="s">
        <v>17</v>
      </c>
      <c r="H4" s="17"/>
      <c r="I4" s="15"/>
      <c r="J4" s="15"/>
      <c r="K4" s="14"/>
      <c r="L4" s="14"/>
      <c r="M4" s="14"/>
      <c r="N4" s="14"/>
    </row>
    <row r="5" spans="1:14" ht="15.95" customHeight="1" x14ac:dyDescent="0.25">
      <c r="A5" s="14"/>
      <c r="B5" s="16" t="s">
        <v>18</v>
      </c>
      <c r="C5" s="169">
        <v>12</v>
      </c>
      <c r="D5" s="169"/>
      <c r="E5" s="16" t="s">
        <v>19</v>
      </c>
      <c r="F5" s="14"/>
      <c r="G5" s="14"/>
      <c r="H5" s="14"/>
      <c r="I5" s="15"/>
      <c r="J5" s="15"/>
      <c r="K5" s="14"/>
      <c r="L5" s="14"/>
      <c r="M5" s="14"/>
      <c r="N5" s="14"/>
    </row>
    <row r="6" spans="1:14" ht="15.95" customHeight="1" x14ac:dyDescent="0.25">
      <c r="A6" s="14"/>
      <c r="B6" s="16" t="s">
        <v>293</v>
      </c>
      <c r="C6" s="169" t="s">
        <v>294</v>
      </c>
      <c r="D6" s="169"/>
      <c r="E6" s="16" t="s">
        <v>16</v>
      </c>
      <c r="F6" s="14"/>
      <c r="G6" s="14"/>
      <c r="H6" s="14"/>
      <c r="I6" s="15"/>
      <c r="J6" s="15"/>
      <c r="K6" s="14"/>
      <c r="L6" s="14"/>
      <c r="M6" s="14"/>
      <c r="N6" s="14"/>
    </row>
    <row r="7" spans="1:14" ht="15.95" customHeight="1" x14ac:dyDescent="0.25">
      <c r="A7" s="14"/>
      <c r="B7" s="16" t="s">
        <v>300</v>
      </c>
      <c r="C7" s="169">
        <v>20</v>
      </c>
      <c r="D7" s="169"/>
      <c r="E7" s="16" t="s">
        <v>301</v>
      </c>
      <c r="F7" s="15"/>
      <c r="G7" s="14"/>
      <c r="H7" s="14"/>
      <c r="I7" s="15"/>
      <c r="J7" s="15"/>
      <c r="K7" s="14"/>
      <c r="L7" s="14"/>
      <c r="M7" s="14"/>
      <c r="N7" s="14"/>
    </row>
    <row r="8" spans="1:14" ht="15.95" customHeight="1" x14ac:dyDescent="0.25">
      <c r="A8" s="14"/>
      <c r="B8" s="16" t="s">
        <v>302</v>
      </c>
      <c r="C8" s="169">
        <v>50</v>
      </c>
      <c r="D8" s="169"/>
      <c r="E8" s="16" t="s">
        <v>301</v>
      </c>
      <c r="F8" s="14"/>
      <c r="G8" s="14"/>
      <c r="H8" s="14"/>
      <c r="I8" s="15"/>
      <c r="J8" s="15"/>
      <c r="K8" s="14"/>
      <c r="L8" s="14"/>
      <c r="M8" s="14"/>
      <c r="N8" s="14"/>
    </row>
    <row r="9" spans="1:14" ht="15.95" customHeight="1" x14ac:dyDescent="0.25">
      <c r="A9" s="14"/>
      <c r="B9" s="19"/>
      <c r="C9" s="19"/>
      <c r="D9" s="19"/>
      <c r="E9" s="20"/>
      <c r="F9" s="14"/>
      <c r="G9" s="14"/>
      <c r="H9" s="14"/>
      <c r="I9" s="15"/>
      <c r="J9" s="15"/>
      <c r="K9" s="14"/>
      <c r="L9" s="14"/>
      <c r="M9" s="14"/>
      <c r="N9" s="14"/>
    </row>
    <row r="10" spans="1:14" ht="15.95" customHeight="1" x14ac:dyDescent="0.25">
      <c r="A10" s="14"/>
      <c r="B10" s="163" t="s">
        <v>20</v>
      </c>
      <c r="C10" s="163"/>
      <c r="D10" s="163"/>
      <c r="E10" s="163"/>
      <c r="F10" s="15"/>
      <c r="G10" s="19"/>
      <c r="H10" s="19"/>
      <c r="I10" s="20"/>
      <c r="J10" s="15"/>
      <c r="K10" s="14"/>
      <c r="L10" s="14"/>
      <c r="M10" s="14"/>
      <c r="N10" s="14"/>
    </row>
    <row r="11" spans="1:14" ht="15.95" customHeight="1" x14ac:dyDescent="0.25">
      <c r="A11" s="14"/>
      <c r="B11" s="16" t="s">
        <v>21</v>
      </c>
      <c r="C11" s="21">
        <v>78.400000000000006</v>
      </c>
      <c r="D11" s="170"/>
      <c r="E11" s="170"/>
      <c r="F11" s="14"/>
      <c r="G11" s="19"/>
      <c r="H11" s="19"/>
      <c r="I11" s="20"/>
      <c r="J11" s="15"/>
      <c r="K11" s="14"/>
      <c r="L11" s="14"/>
      <c r="M11" s="14"/>
      <c r="N11" s="14"/>
    </row>
    <row r="12" spans="1:14" ht="15.95" customHeight="1" x14ac:dyDescent="0.25">
      <c r="A12" s="14"/>
      <c r="B12" s="22" t="s">
        <v>22</v>
      </c>
      <c r="C12" s="23">
        <v>135</v>
      </c>
      <c r="D12" s="167" t="s">
        <v>23</v>
      </c>
      <c r="E12" s="167"/>
      <c r="F12" s="14"/>
      <c r="G12" s="19"/>
      <c r="H12" s="19"/>
      <c r="I12" s="20"/>
      <c r="J12" s="15"/>
      <c r="K12" s="14"/>
      <c r="L12" s="14"/>
      <c r="M12" s="14"/>
      <c r="N12" s="14"/>
    </row>
    <row r="13" spans="1:14" ht="15.95" customHeight="1" x14ac:dyDescent="0.25">
      <c r="A13" s="14"/>
      <c r="B13" s="3" t="s">
        <v>24</v>
      </c>
      <c r="C13" s="21">
        <f>((C12/C11)*100)</f>
        <v>172.19387755102039</v>
      </c>
      <c r="D13" s="167" t="s">
        <v>25</v>
      </c>
      <c r="E13" s="167"/>
      <c r="F13" s="14"/>
      <c r="G13" s="19"/>
      <c r="H13" s="19"/>
      <c r="I13" s="20"/>
      <c r="J13" s="15"/>
      <c r="K13" s="14"/>
      <c r="L13" s="14"/>
      <c r="M13" s="14"/>
      <c r="N13" s="14"/>
    </row>
    <row r="14" spans="1:14" ht="15.95" customHeight="1" x14ac:dyDescent="0.25">
      <c r="A14" s="14"/>
      <c r="B14" s="3" t="s">
        <v>26</v>
      </c>
      <c r="C14" s="24">
        <v>1.0009999999999999</v>
      </c>
      <c r="D14" s="167" t="s">
        <v>27</v>
      </c>
      <c r="E14" s="167"/>
      <c r="F14" s="14"/>
      <c r="G14" s="19"/>
      <c r="H14" s="19"/>
      <c r="I14" s="20"/>
      <c r="J14" s="15"/>
      <c r="K14" s="14"/>
      <c r="L14" s="14"/>
      <c r="M14" s="14"/>
      <c r="N14" s="14"/>
    </row>
    <row r="15" spans="1:14" ht="15.95" customHeight="1" x14ac:dyDescent="0.25">
      <c r="A15" s="14"/>
      <c r="B15" s="25" t="s">
        <v>28</v>
      </c>
      <c r="C15" s="26">
        <f>((C13/100)*C14*100)</f>
        <v>172.36607142857142</v>
      </c>
      <c r="D15" s="170"/>
      <c r="E15" s="170"/>
      <c r="F15" s="14"/>
      <c r="G15" s="14"/>
      <c r="H15" s="14"/>
      <c r="I15" s="15"/>
      <c r="J15" s="15"/>
      <c r="K15" s="14"/>
      <c r="L15" s="14"/>
      <c r="M15" s="14"/>
      <c r="N15" s="14"/>
    </row>
    <row r="16" spans="1:14" ht="15.95" customHeight="1" x14ac:dyDescent="0.25">
      <c r="A16" s="14"/>
      <c r="B16" s="19"/>
      <c r="C16" s="19"/>
      <c r="D16" s="19"/>
      <c r="E16" s="20"/>
      <c r="F16" s="14"/>
      <c r="G16" s="14"/>
      <c r="H16" s="14"/>
      <c r="I16" s="15"/>
      <c r="J16" s="15"/>
      <c r="K16" s="14"/>
      <c r="L16" s="14"/>
      <c r="M16" s="14"/>
      <c r="N16" s="14"/>
    </row>
    <row r="17" spans="1:16" ht="15.95" customHeight="1" x14ac:dyDescent="0.25">
      <c r="A17" s="14"/>
      <c r="B17" s="3" t="s">
        <v>29</v>
      </c>
      <c r="C17" s="27">
        <v>0.15</v>
      </c>
      <c r="D17" s="167" t="s">
        <v>290</v>
      </c>
      <c r="E17" s="167"/>
      <c r="F17" s="14"/>
      <c r="G17" s="14"/>
      <c r="H17" s="14"/>
      <c r="I17" s="15"/>
      <c r="J17" s="15"/>
      <c r="K17" s="14"/>
      <c r="L17" s="14"/>
      <c r="M17" s="14"/>
      <c r="N17" s="14"/>
    </row>
    <row r="18" spans="1:16" ht="15.95" customHeight="1" x14ac:dyDescent="0.25">
      <c r="A18" s="14"/>
      <c r="B18" s="19"/>
      <c r="C18" s="19"/>
      <c r="D18" s="19"/>
      <c r="E18" s="20"/>
      <c r="F18" s="15"/>
      <c r="G18" s="14"/>
      <c r="H18" s="14"/>
      <c r="I18" s="15"/>
      <c r="J18" s="15"/>
      <c r="K18" s="14"/>
      <c r="L18" s="14"/>
      <c r="M18" s="14"/>
      <c r="N18" s="14"/>
    </row>
    <row r="19" spans="1:16" ht="45" x14ac:dyDescent="0.25">
      <c r="A19" s="14"/>
      <c r="B19" s="161" t="s">
        <v>30</v>
      </c>
      <c r="C19" s="161"/>
      <c r="D19" s="161"/>
      <c r="E19" s="161"/>
      <c r="F19" s="28" t="s">
        <v>31</v>
      </c>
      <c r="G19" s="162" t="s">
        <v>32</v>
      </c>
      <c r="H19" s="162"/>
      <c r="I19" s="2" t="s">
        <v>33</v>
      </c>
      <c r="J19" s="2" t="s">
        <v>34</v>
      </c>
      <c r="K19" s="162" t="s">
        <v>35</v>
      </c>
      <c r="L19" s="162"/>
      <c r="M19" s="2" t="s">
        <v>303</v>
      </c>
      <c r="N19" s="14"/>
    </row>
    <row r="20" spans="1:16" ht="15.95" customHeight="1" x14ac:dyDescent="0.25">
      <c r="A20" s="14"/>
      <c r="B20" s="163" t="str">
        <f>F20</f>
        <v>Fenster und Türen</v>
      </c>
      <c r="C20" s="163"/>
      <c r="D20" s="163"/>
      <c r="E20" s="163"/>
      <c r="F20" s="29" t="s">
        <v>36</v>
      </c>
      <c r="G20" s="30" t="s">
        <v>37</v>
      </c>
      <c r="H20" s="30" t="s">
        <v>38</v>
      </c>
      <c r="I20" s="30" t="s">
        <v>37</v>
      </c>
      <c r="J20" s="30" t="s">
        <v>37</v>
      </c>
      <c r="K20" s="31" t="s">
        <v>39</v>
      </c>
      <c r="L20" s="31" t="s">
        <v>40</v>
      </c>
      <c r="M20" s="31" t="s">
        <v>41</v>
      </c>
      <c r="N20" s="14"/>
    </row>
    <row r="21" spans="1:16" ht="15.95" customHeight="1" x14ac:dyDescent="0.25">
      <c r="A21" s="14"/>
      <c r="B21" s="32" t="s">
        <v>42</v>
      </c>
      <c r="C21" s="33">
        <v>2</v>
      </c>
      <c r="D21" s="34" t="s">
        <v>43</v>
      </c>
      <c r="E21" s="35"/>
      <c r="F21" s="36" t="s">
        <v>44</v>
      </c>
      <c r="G21" s="37">
        <f>ROUND((1+C17)*(Daten!D10*$C$21^Daten!E10*$C$15/100),-1)</f>
        <v>1090</v>
      </c>
      <c r="H21" s="37">
        <f>ROUND((G21*$C$22),-2)</f>
        <v>32700</v>
      </c>
      <c r="I21" s="37">
        <f>ROUND($G$23* IF($C$8&lt;=M21,(C8/M21),1),-1)</f>
        <v>700</v>
      </c>
      <c r="J21" s="37">
        <f>G21-I21</f>
        <v>390</v>
      </c>
      <c r="K21" s="1" t="s">
        <v>45</v>
      </c>
      <c r="L21" s="38" t="s">
        <v>46</v>
      </c>
      <c r="M21" s="4">
        <v>50</v>
      </c>
      <c r="N21" s="14"/>
    </row>
    <row r="22" spans="1:16" ht="15.95" customHeight="1" x14ac:dyDescent="0.25">
      <c r="A22" s="14"/>
      <c r="B22" s="39" t="s">
        <v>47</v>
      </c>
      <c r="C22" s="119">
        <v>30</v>
      </c>
      <c r="D22" s="123" t="s">
        <v>43</v>
      </c>
      <c r="E22" s="41"/>
      <c r="F22" s="36" t="s">
        <v>48</v>
      </c>
      <c r="G22" s="37">
        <f>ROUND((1+C17)*(Daten!D11*$C$21^Daten!E11*$C$15/100),-1)</f>
        <v>800</v>
      </c>
      <c r="H22" s="37">
        <f>ROUND((G22*$C$22),-2)</f>
        <v>24000</v>
      </c>
      <c r="I22" s="37">
        <f>ROUND($G$23* IF($C$8&lt;=M22,(C8/M22),1),-1)</f>
        <v>700</v>
      </c>
      <c r="J22" s="37">
        <f>G22-I22</f>
        <v>100</v>
      </c>
      <c r="K22" s="1" t="s">
        <v>49</v>
      </c>
      <c r="L22" s="38" t="s">
        <v>46</v>
      </c>
      <c r="M22" s="4">
        <v>50</v>
      </c>
      <c r="N22" s="14"/>
    </row>
    <row r="23" spans="1:16" ht="15.95" customHeight="1" x14ac:dyDescent="0.25">
      <c r="A23" s="14"/>
      <c r="B23" s="42"/>
      <c r="C23" s="43"/>
      <c r="D23" s="43"/>
      <c r="E23" s="44"/>
      <c r="F23" s="36" t="s">
        <v>50</v>
      </c>
      <c r="G23" s="37">
        <f>ROUND((1+C17)*(Daten!D12*$C$21^Daten!E12*$C$15/100),-1)</f>
        <v>700</v>
      </c>
      <c r="H23" s="37">
        <f>ROUND((G23*$C$22),-2)</f>
        <v>21000</v>
      </c>
      <c r="I23" s="37">
        <f>ROUND($G$23* IF($C$8&lt;=M23,(C8/M23),1),-1)</f>
        <v>700</v>
      </c>
      <c r="J23" s="37">
        <f>G23-I23</f>
        <v>0</v>
      </c>
      <c r="K23" s="1" t="s">
        <v>51</v>
      </c>
      <c r="L23" s="38" t="s">
        <v>46</v>
      </c>
      <c r="M23" s="4">
        <v>50</v>
      </c>
      <c r="N23" s="14"/>
    </row>
    <row r="24" spans="1:16" ht="15.95" customHeight="1" x14ac:dyDescent="0.25">
      <c r="A24" s="14"/>
      <c r="B24" s="45" t="s">
        <v>52</v>
      </c>
      <c r="C24" s="34"/>
      <c r="D24" s="34"/>
      <c r="E24" s="46"/>
      <c r="F24" s="36" t="s">
        <v>53</v>
      </c>
      <c r="G24" s="37" t="s">
        <v>54</v>
      </c>
      <c r="H24" s="37">
        <f>ROUND((1+C17)*Daten!C15*$C$15/100,-1)</f>
        <v>2830</v>
      </c>
      <c r="I24" s="37" t="s">
        <v>55</v>
      </c>
      <c r="J24" s="37" t="s">
        <v>55</v>
      </c>
      <c r="K24" s="160" t="s">
        <v>56</v>
      </c>
      <c r="L24" s="160"/>
      <c r="M24" s="4">
        <v>40</v>
      </c>
      <c r="N24" s="14"/>
    </row>
    <row r="25" spans="1:16" ht="15.95" customHeight="1" x14ac:dyDescent="0.25">
      <c r="A25" s="14"/>
      <c r="B25" s="42"/>
      <c r="C25" s="43"/>
      <c r="D25" s="43"/>
      <c r="E25" s="44"/>
      <c r="F25" s="16" t="s">
        <v>57</v>
      </c>
      <c r="G25" s="37" t="s">
        <v>54</v>
      </c>
      <c r="H25" s="37">
        <f>ROUND((1+C17)*Daten!C16*$C$15/100,-1)</f>
        <v>2840</v>
      </c>
      <c r="I25" s="37" t="s">
        <v>55</v>
      </c>
      <c r="J25" s="37" t="s">
        <v>55</v>
      </c>
      <c r="K25" s="160" t="s">
        <v>56</v>
      </c>
      <c r="L25" s="160"/>
      <c r="M25" s="4">
        <v>40</v>
      </c>
      <c r="N25" s="14"/>
    </row>
    <row r="26" spans="1:16" ht="15.95" customHeight="1" x14ac:dyDescent="0.25">
      <c r="A26" s="14"/>
      <c r="B26" s="32" t="s">
        <v>58</v>
      </c>
      <c r="C26" s="33">
        <v>2</v>
      </c>
      <c r="D26" s="34" t="s">
        <v>43</v>
      </c>
      <c r="E26" s="46"/>
      <c r="F26" s="16" t="s">
        <v>59</v>
      </c>
      <c r="G26" s="37">
        <f>ROUND((1+C17)*Daten!C19*$C$15/100,-1)</f>
        <v>2840</v>
      </c>
      <c r="H26" s="37">
        <f>ROUND($C$26*G26,-1)</f>
        <v>5680</v>
      </c>
      <c r="I26" s="37">
        <f>ROUND((G26-0.33*G26)*IF($C$8&lt;=M26,(C8/M26),1),-1)</f>
        <v>1900</v>
      </c>
      <c r="J26" s="37">
        <f>G26-I26</f>
        <v>940</v>
      </c>
      <c r="K26" s="160" t="s">
        <v>56</v>
      </c>
      <c r="L26" s="160"/>
      <c r="M26" s="47">
        <v>50</v>
      </c>
      <c r="N26" s="14"/>
    </row>
    <row r="27" spans="1:16" ht="15.95" customHeight="1" x14ac:dyDescent="0.25">
      <c r="A27" s="14"/>
      <c r="B27" s="42"/>
      <c r="C27" s="43"/>
      <c r="D27" s="43"/>
      <c r="E27" s="44"/>
      <c r="F27" s="16" t="s">
        <v>60</v>
      </c>
      <c r="G27" s="37">
        <f>ROUND((1+C17)*Daten!C20*$C$15/100,-1)</f>
        <v>2420</v>
      </c>
      <c r="H27" s="37">
        <f>ROUND($C$26*G27,-1)</f>
        <v>4840</v>
      </c>
      <c r="I27" s="37">
        <f>ROUND((G27-0.33*G27)*IF($C$8&lt;=M27,(C8/M27),1),-1)</f>
        <v>1620</v>
      </c>
      <c r="J27" s="37">
        <f>G27-I27</f>
        <v>800</v>
      </c>
      <c r="K27" s="160" t="s">
        <v>56</v>
      </c>
      <c r="L27" s="160"/>
      <c r="M27" s="47">
        <v>50</v>
      </c>
      <c r="N27" s="14"/>
      <c r="P27" s="48"/>
    </row>
    <row r="28" spans="1:16" ht="15.95" customHeight="1" x14ac:dyDescent="0.25">
      <c r="A28" s="14"/>
      <c r="B28" s="71" t="s">
        <v>304</v>
      </c>
      <c r="C28" s="148">
        <v>2</v>
      </c>
      <c r="D28" s="72" t="s">
        <v>43</v>
      </c>
      <c r="E28" s="73"/>
      <c r="F28" s="16" t="s">
        <v>312</v>
      </c>
      <c r="G28" s="37">
        <f>ROUND((1+$C$17)*Daten!C22*$C$15/100,-1)</f>
        <v>1000</v>
      </c>
      <c r="H28" s="37">
        <f>ROUND($C$28*G28,-1)</f>
        <v>2000</v>
      </c>
      <c r="I28" s="37">
        <f>ROUND((G28-0.33*G28)*IF($C$8&lt;=M28,(C8/M28),1),-1)</f>
        <v>670</v>
      </c>
      <c r="J28" s="37">
        <f>G28-I28</f>
        <v>330</v>
      </c>
      <c r="K28" s="160" t="s">
        <v>56</v>
      </c>
      <c r="L28" s="160"/>
      <c r="M28" s="47">
        <v>50</v>
      </c>
      <c r="N28" s="14"/>
    </row>
    <row r="29" spans="1:16" ht="15.95" customHeight="1" x14ac:dyDescent="0.25">
      <c r="A29" s="14"/>
      <c r="B29" s="14"/>
      <c r="C29" s="14"/>
      <c r="D29" s="14"/>
      <c r="E29" s="14"/>
      <c r="F29" s="164"/>
      <c r="G29" s="164"/>
      <c r="H29" s="164"/>
      <c r="I29" s="164"/>
      <c r="J29" s="164"/>
      <c r="K29" s="164"/>
      <c r="L29" s="164"/>
      <c r="M29" s="164"/>
      <c r="N29" s="14"/>
      <c r="P29" s="48"/>
    </row>
    <row r="30" spans="1:16" ht="45" x14ac:dyDescent="0.25">
      <c r="A30" s="14"/>
      <c r="B30" s="161" t="s">
        <v>30</v>
      </c>
      <c r="C30" s="161"/>
      <c r="D30" s="161"/>
      <c r="E30" s="161"/>
      <c r="F30" s="28" t="s">
        <v>31</v>
      </c>
      <c r="G30" s="162" t="s">
        <v>32</v>
      </c>
      <c r="H30" s="162"/>
      <c r="I30" s="2" t="s">
        <v>33</v>
      </c>
      <c r="J30" s="2" t="s">
        <v>34</v>
      </c>
      <c r="K30" s="162" t="s">
        <v>35</v>
      </c>
      <c r="L30" s="162"/>
      <c r="M30" s="2" t="s">
        <v>303</v>
      </c>
      <c r="N30" s="14"/>
      <c r="P30" s="48"/>
    </row>
    <row r="31" spans="1:16" ht="15.95" customHeight="1" x14ac:dyDescent="0.25">
      <c r="A31" s="14"/>
      <c r="B31" s="163" t="str">
        <f>F31</f>
        <v>Opake Bauteile</v>
      </c>
      <c r="C31" s="163"/>
      <c r="D31" s="163"/>
      <c r="E31" s="163"/>
      <c r="F31" s="29" t="s">
        <v>61</v>
      </c>
      <c r="G31" s="30" t="s">
        <v>37</v>
      </c>
      <c r="H31" s="30" t="s">
        <v>38</v>
      </c>
      <c r="I31" s="30" t="s">
        <v>38</v>
      </c>
      <c r="J31" s="30" t="s">
        <v>38</v>
      </c>
      <c r="K31" s="31" t="s">
        <v>39</v>
      </c>
      <c r="L31" s="31" t="s">
        <v>40</v>
      </c>
      <c r="M31" s="31" t="s">
        <v>41</v>
      </c>
      <c r="N31" s="14"/>
      <c r="P31" s="48"/>
    </row>
    <row r="32" spans="1:16" ht="15.95" customHeight="1" x14ac:dyDescent="0.25">
      <c r="A32" s="14"/>
      <c r="B32" s="32" t="s">
        <v>62</v>
      </c>
      <c r="C32" s="50">
        <v>180</v>
      </c>
      <c r="D32" s="34" t="s">
        <v>43</v>
      </c>
      <c r="E32" s="46"/>
      <c r="F32" s="16" t="s">
        <v>63</v>
      </c>
      <c r="G32" s="37">
        <f>ROUND((1+C17)*(((Daten!B25*$C$35)+Daten!C25))*$C$15/100,0)</f>
        <v>281</v>
      </c>
      <c r="H32" s="37">
        <f t="shared" ref="H32:H44" si="0">ROUND((G32*$C$32),-2)</f>
        <v>50600</v>
      </c>
      <c r="I32" s="37">
        <f>ROUND(IF($C$8&lt;=M32,(C8/M32),1) * (H32-((((Daten!B26*$C$35)+Daten!C26))*($C$15/100)*(1+$C$17))*C32),-2)</f>
        <v>27500</v>
      </c>
      <c r="J32" s="37">
        <f>H32-I32</f>
        <v>23100</v>
      </c>
      <c r="K32" s="1" t="s">
        <v>64</v>
      </c>
      <c r="L32" s="38" t="s">
        <v>65</v>
      </c>
      <c r="M32" s="4">
        <v>30</v>
      </c>
      <c r="N32" s="14"/>
      <c r="P32" s="48"/>
    </row>
    <row r="33" spans="1:16" ht="15.95" customHeight="1" x14ac:dyDescent="0.25">
      <c r="A33" s="14"/>
      <c r="B33" s="39" t="s">
        <v>66</v>
      </c>
      <c r="C33" s="51">
        <v>16</v>
      </c>
      <c r="D33" s="6" t="s">
        <v>67</v>
      </c>
      <c r="E33" s="41"/>
      <c r="F33" s="16" t="s">
        <v>68</v>
      </c>
      <c r="G33" s="37">
        <f>ROUND((1+C17)*(((Daten!B27*$C$35)+Daten!C27))*$C$15/100,0)</f>
        <v>73</v>
      </c>
      <c r="H33" s="37">
        <f t="shared" si="0"/>
        <v>13100</v>
      </c>
      <c r="I33" s="37">
        <v>0</v>
      </c>
      <c r="J33" s="37">
        <f t="shared" ref="J33:J40" si="1">H33</f>
        <v>13100</v>
      </c>
      <c r="K33" s="1" t="s">
        <v>69</v>
      </c>
      <c r="L33" s="38" t="s">
        <v>65</v>
      </c>
      <c r="M33" s="4">
        <v>30</v>
      </c>
      <c r="N33" s="14"/>
      <c r="P33" s="48"/>
    </row>
    <row r="34" spans="1:16" ht="15.95" customHeight="1" x14ac:dyDescent="0.25">
      <c r="A34" s="14"/>
      <c r="B34" s="39" t="s">
        <v>70</v>
      </c>
      <c r="C34" s="52">
        <v>3.5000000000000003E-2</v>
      </c>
      <c r="D34" s="6" t="s">
        <v>71</v>
      </c>
      <c r="E34" s="41"/>
      <c r="F34" s="16" t="s">
        <v>72</v>
      </c>
      <c r="G34" s="37">
        <f>ROUND((1+C17)*(((Daten!B28*$C$35)+Daten!C28))*$C$15/100,0)</f>
        <v>101</v>
      </c>
      <c r="H34" s="37">
        <f t="shared" si="0"/>
        <v>18200</v>
      </c>
      <c r="I34" s="37">
        <f t="shared" ref="I34:I40" si="2">H34-J34</f>
        <v>0</v>
      </c>
      <c r="J34" s="37">
        <f t="shared" si="1"/>
        <v>18200</v>
      </c>
      <c r="K34" s="1" t="s">
        <v>73</v>
      </c>
      <c r="L34" s="38" t="s">
        <v>65</v>
      </c>
      <c r="M34" s="4">
        <v>50</v>
      </c>
      <c r="N34" s="14"/>
    </row>
    <row r="35" spans="1:16" ht="15.95" customHeight="1" x14ac:dyDescent="0.25">
      <c r="A35" s="14"/>
      <c r="B35" s="39" t="s">
        <v>74</v>
      </c>
      <c r="C35" s="6">
        <f>C33/C34*0.035</f>
        <v>16</v>
      </c>
      <c r="D35" s="6" t="s">
        <v>67</v>
      </c>
      <c r="E35" s="41"/>
      <c r="F35" s="16" t="s">
        <v>75</v>
      </c>
      <c r="G35" s="37">
        <f>ROUND((1+C17)*(((Daten!B29*$C$35)+Daten!C29))*$C$15/100,0)</f>
        <v>157</v>
      </c>
      <c r="H35" s="37">
        <f t="shared" si="0"/>
        <v>28300</v>
      </c>
      <c r="I35" s="37">
        <f t="shared" si="2"/>
        <v>0</v>
      </c>
      <c r="J35" s="37">
        <f t="shared" si="1"/>
        <v>28300</v>
      </c>
      <c r="K35" s="1" t="s">
        <v>73</v>
      </c>
      <c r="L35" s="38" t="s">
        <v>65</v>
      </c>
      <c r="M35" s="4">
        <v>50</v>
      </c>
      <c r="N35" s="14"/>
      <c r="P35" s="53"/>
    </row>
    <row r="36" spans="1:16" ht="15.95" customHeight="1" x14ac:dyDescent="0.25">
      <c r="A36" s="14"/>
      <c r="B36" s="54"/>
      <c r="C36" s="55"/>
      <c r="D36" s="55"/>
      <c r="E36" s="56"/>
      <c r="F36" s="16" t="s">
        <v>76</v>
      </c>
      <c r="G36" s="37">
        <f>ROUND((1+C17)*(((Daten!B30*$C$35)+Daten!C30))*$C$15/100,0)</f>
        <v>69</v>
      </c>
      <c r="H36" s="37">
        <f t="shared" si="0"/>
        <v>12400</v>
      </c>
      <c r="I36" s="37">
        <f>H36-J36</f>
        <v>0</v>
      </c>
      <c r="J36" s="37">
        <f t="shared" si="1"/>
        <v>12400</v>
      </c>
      <c r="K36" s="1" t="s">
        <v>69</v>
      </c>
      <c r="L36" s="38" t="s">
        <v>65</v>
      </c>
      <c r="M36" s="4">
        <v>50</v>
      </c>
      <c r="N36" s="14"/>
    </row>
    <row r="37" spans="1:16" ht="15.95" customHeight="1" x14ac:dyDescent="0.25">
      <c r="A37" s="14"/>
      <c r="B37" s="57"/>
      <c r="C37" s="55"/>
      <c r="D37" s="55"/>
      <c r="E37" s="56"/>
      <c r="F37" s="16" t="s">
        <v>78</v>
      </c>
      <c r="G37" s="37">
        <f>ROUND((1+C17)*(Daten!C31+Daten!B31*C35)*$C$15/100,0)</f>
        <v>132</v>
      </c>
      <c r="H37" s="37">
        <f t="shared" si="0"/>
        <v>23800</v>
      </c>
      <c r="I37" s="37">
        <f t="shared" si="2"/>
        <v>0</v>
      </c>
      <c r="J37" s="37">
        <f t="shared" si="1"/>
        <v>23800</v>
      </c>
      <c r="K37" s="160" t="s">
        <v>56</v>
      </c>
      <c r="L37" s="160"/>
      <c r="M37" s="4">
        <v>50</v>
      </c>
      <c r="N37" s="14"/>
    </row>
    <row r="38" spans="1:16" ht="15.95" customHeight="1" x14ac:dyDescent="0.25">
      <c r="A38" s="14"/>
      <c r="B38" s="54"/>
      <c r="C38" s="117"/>
      <c r="D38" s="117"/>
      <c r="E38" s="56"/>
      <c r="F38" s="73" t="s">
        <v>79</v>
      </c>
      <c r="G38" s="37">
        <f>ROUND((1+C17)*(((Daten!B28*$C$35)+Daten!C28))*$C$15/100,0)</f>
        <v>101</v>
      </c>
      <c r="H38" s="37">
        <f t="shared" si="0"/>
        <v>18200</v>
      </c>
      <c r="I38" s="37">
        <f t="shared" si="2"/>
        <v>0</v>
      </c>
      <c r="J38" s="37">
        <f t="shared" si="1"/>
        <v>18200</v>
      </c>
      <c r="K38" s="160" t="s">
        <v>56</v>
      </c>
      <c r="L38" s="160"/>
      <c r="M38" s="4">
        <v>50</v>
      </c>
      <c r="N38" s="14"/>
    </row>
    <row r="39" spans="1:16" ht="15.95" customHeight="1" x14ac:dyDescent="0.25">
      <c r="A39" s="14"/>
      <c r="B39" s="54"/>
      <c r="C39" s="117"/>
      <c r="D39" s="117"/>
      <c r="E39" s="56"/>
      <c r="F39" s="73" t="s">
        <v>80</v>
      </c>
      <c r="G39" s="37">
        <f>ROUND((1+C17)*(((Daten!B32*$C$35)+Daten!C32))*$C$15/100,0)</f>
        <v>112</v>
      </c>
      <c r="H39" s="37">
        <f t="shared" si="0"/>
        <v>20200</v>
      </c>
      <c r="I39" s="37">
        <f t="shared" si="2"/>
        <v>0</v>
      </c>
      <c r="J39" s="37">
        <f t="shared" si="1"/>
        <v>20200</v>
      </c>
      <c r="K39" s="1" t="s">
        <v>81</v>
      </c>
      <c r="L39" s="38" t="s">
        <v>65</v>
      </c>
      <c r="M39" s="4">
        <v>50</v>
      </c>
      <c r="N39" s="14"/>
    </row>
    <row r="40" spans="1:16" ht="15.95" customHeight="1" x14ac:dyDescent="0.25">
      <c r="A40" s="14"/>
      <c r="B40" s="57"/>
      <c r="C40" s="6"/>
      <c r="D40" s="6"/>
      <c r="E40" s="41"/>
      <c r="F40" s="16" t="s">
        <v>82</v>
      </c>
      <c r="G40" s="37">
        <f>ROUND((1+C17)*(((Daten!B33*$C$35)+Daten!C33))*$C$15/100,0)</f>
        <v>41</v>
      </c>
      <c r="H40" s="37">
        <f t="shared" si="0"/>
        <v>7400</v>
      </c>
      <c r="I40" s="37">
        <f t="shared" si="2"/>
        <v>0</v>
      </c>
      <c r="J40" s="37">
        <f t="shared" si="1"/>
        <v>7400</v>
      </c>
      <c r="K40" s="1" t="s">
        <v>81</v>
      </c>
      <c r="L40" s="38" t="s">
        <v>65</v>
      </c>
      <c r="M40" s="4">
        <v>50</v>
      </c>
      <c r="N40" s="14"/>
    </row>
    <row r="41" spans="1:16" ht="15.95" customHeight="1" x14ac:dyDescent="0.25">
      <c r="A41" s="14"/>
      <c r="B41" s="57"/>
      <c r="C41" s="6"/>
      <c r="D41" s="6"/>
      <c r="E41" s="41"/>
      <c r="F41" s="16" t="s">
        <v>83</v>
      </c>
      <c r="G41" s="37">
        <f>ROUND((1+C17)*(((Daten!B34*$C$35)+Daten!C34))*$C$15/100,0)</f>
        <v>337</v>
      </c>
      <c r="H41" s="37">
        <f t="shared" si="0"/>
        <v>60700</v>
      </c>
      <c r="I41" s="37">
        <f>ROUND(IF($C$8&lt;=M41,(C8/M41),1) * (H41-((((Daten!B37*$C$35)+Daten!C37))*($C$15/100)*(1+$C$17))*C32),-2)</f>
        <v>36400</v>
      </c>
      <c r="J41" s="37">
        <f>H41-I41</f>
        <v>24300</v>
      </c>
      <c r="K41" s="1" t="s">
        <v>84</v>
      </c>
      <c r="L41" s="38" t="s">
        <v>65</v>
      </c>
      <c r="M41" s="4">
        <v>30</v>
      </c>
      <c r="N41" s="14"/>
    </row>
    <row r="42" spans="1:16" ht="15.95" customHeight="1" x14ac:dyDescent="0.25">
      <c r="A42" s="14"/>
      <c r="B42" s="57"/>
      <c r="C42" s="6"/>
      <c r="D42" s="6"/>
      <c r="E42" s="41"/>
      <c r="F42" s="16" t="s">
        <v>85</v>
      </c>
      <c r="G42" s="37">
        <f>ROUND((1+C17)*(((Daten!B35*$C$35)+Daten!C35))*$C$15/100,0)</f>
        <v>365</v>
      </c>
      <c r="H42" s="37">
        <f t="shared" si="0"/>
        <v>65700</v>
      </c>
      <c r="I42" s="37">
        <f>ROUND(IF($C$8&lt;=M42,(C8/M42),1) * (H42- ((((Daten!B37*$C$35)+Daten!C37))*($C$15/100)*(1+$C$17))*C32),-2)</f>
        <v>41400</v>
      </c>
      <c r="J42" s="37">
        <f>H42-I42</f>
        <v>24300</v>
      </c>
      <c r="K42" s="1" t="s">
        <v>84</v>
      </c>
      <c r="L42" s="38" t="s">
        <v>65</v>
      </c>
      <c r="M42" s="4">
        <v>30</v>
      </c>
      <c r="N42" s="14"/>
    </row>
    <row r="43" spans="1:16" ht="15.95" customHeight="1" x14ac:dyDescent="0.25">
      <c r="A43" s="14"/>
      <c r="B43" s="57"/>
      <c r="C43" s="6"/>
      <c r="D43" s="6"/>
      <c r="E43" s="41"/>
      <c r="F43" s="16" t="s">
        <v>86</v>
      </c>
      <c r="G43" s="37">
        <f>ROUND((1+C17)*(((Daten!B36*$C$35)+Daten!C36))*$C$15/100,0)</f>
        <v>355</v>
      </c>
      <c r="H43" s="37">
        <f t="shared" si="0"/>
        <v>63900</v>
      </c>
      <c r="I43" s="37">
        <f>ROUND(IF($C$8&lt;=M43,(C8/M43),1) * (H43- ((((Daten!B37*$C$35)+Daten!C37))*($C$15/100)*(1+$C$17))*C32),-2)</f>
        <v>39600</v>
      </c>
      <c r="J43" s="37">
        <f>H43-I43</f>
        <v>24300</v>
      </c>
      <c r="K43" s="1" t="s">
        <v>84</v>
      </c>
      <c r="L43" s="38" t="s">
        <v>65</v>
      </c>
      <c r="M43" s="4">
        <v>30</v>
      </c>
      <c r="N43" s="14"/>
    </row>
    <row r="44" spans="1:16" ht="15.95" customHeight="1" x14ac:dyDescent="0.25">
      <c r="A44" s="14"/>
      <c r="B44" s="42"/>
      <c r="C44" s="43"/>
      <c r="D44" s="43"/>
      <c r="E44" s="44"/>
      <c r="F44" s="16" t="s">
        <v>87</v>
      </c>
      <c r="G44" s="37">
        <f>ROUND((1+C17)*(((Daten!B38*$C$35)+Daten!C38))*$C$15/100,0)</f>
        <v>387</v>
      </c>
      <c r="H44" s="37">
        <f t="shared" si="0"/>
        <v>69700</v>
      </c>
      <c r="I44" s="37">
        <f>ROUND(IF($C$8&lt;=M44,(C8/M44),1) * (H44- ((((Daten!B39*$C$35)+Daten!C39))*($C$15/100)*(1+$C$17))*C32),-2)</f>
        <v>52100</v>
      </c>
      <c r="J44" s="37">
        <f>H44-I44</f>
        <v>17600</v>
      </c>
      <c r="K44" s="1" t="s">
        <v>88</v>
      </c>
      <c r="L44" s="38" t="s">
        <v>65</v>
      </c>
      <c r="M44" s="4">
        <v>30</v>
      </c>
      <c r="N44" s="14"/>
    </row>
    <row r="45" spans="1:16" ht="15.95" customHeight="1" x14ac:dyDescent="0.25">
      <c r="A45" s="14"/>
      <c r="B45" s="39" t="s">
        <v>89</v>
      </c>
      <c r="C45" s="40">
        <v>11</v>
      </c>
      <c r="D45" s="6" t="s">
        <v>43</v>
      </c>
      <c r="E45" s="41"/>
      <c r="F45" s="16" t="s">
        <v>90</v>
      </c>
      <c r="G45" s="37">
        <f>Daten!C40*$C$15/100</f>
        <v>815.29151785714271</v>
      </c>
      <c r="H45" s="37">
        <f>ROUND((1+C17)*$C$45*G45,-2)</f>
        <v>10300</v>
      </c>
      <c r="I45" s="37" t="s">
        <v>55</v>
      </c>
      <c r="J45" s="37" t="s">
        <v>55</v>
      </c>
      <c r="K45" s="160" t="s">
        <v>56</v>
      </c>
      <c r="L45" s="160"/>
      <c r="M45" s="47">
        <v>30</v>
      </c>
      <c r="N45" s="14"/>
    </row>
    <row r="46" spans="1:16" ht="15.95" customHeight="1" x14ac:dyDescent="0.25">
      <c r="A46" s="14"/>
      <c r="B46" s="42"/>
      <c r="C46" s="43"/>
      <c r="D46" s="43"/>
      <c r="E46" s="44"/>
      <c r="F46" s="16" t="s">
        <v>91</v>
      </c>
      <c r="G46" s="37">
        <f>Daten!C41*$C$15/100</f>
        <v>603.28124999999989</v>
      </c>
      <c r="H46" s="37">
        <f>ROUND((1+C17)*$C$45*G46,-2)</f>
        <v>7600</v>
      </c>
      <c r="I46" s="37" t="s">
        <v>55</v>
      </c>
      <c r="J46" s="37" t="s">
        <v>55</v>
      </c>
      <c r="K46" s="160" t="s">
        <v>56</v>
      </c>
      <c r="L46" s="160"/>
      <c r="M46" s="47">
        <v>30</v>
      </c>
      <c r="N46" s="14"/>
    </row>
    <row r="47" spans="1:16" ht="15.95" customHeight="1" x14ac:dyDescent="0.25">
      <c r="A47" s="14"/>
      <c r="B47" s="39" t="s">
        <v>92</v>
      </c>
      <c r="C47" s="40">
        <v>3</v>
      </c>
      <c r="D47" s="6" t="s">
        <v>43</v>
      </c>
      <c r="E47" s="41"/>
      <c r="F47" s="58" t="s">
        <v>93</v>
      </c>
      <c r="G47" s="37">
        <f>ROUND((1+C17)*Daten!C42*$C$15/100,-1)</f>
        <v>280</v>
      </c>
      <c r="H47" s="37">
        <f>ROUND($C$47*G47,-1)</f>
        <v>840</v>
      </c>
      <c r="I47" s="37">
        <f>H47 * IF($C$8&lt;=M47,(C8/M47),1)</f>
        <v>840</v>
      </c>
      <c r="J47" s="37">
        <f>H47-I47</f>
        <v>0</v>
      </c>
      <c r="K47" s="160" t="s">
        <v>56</v>
      </c>
      <c r="L47" s="160"/>
      <c r="M47" s="47">
        <v>30</v>
      </c>
      <c r="N47" s="14"/>
    </row>
    <row r="48" spans="1:16" ht="15.95" customHeight="1" x14ac:dyDescent="0.25">
      <c r="A48" s="14"/>
      <c r="B48" s="57"/>
      <c r="C48" s="6"/>
      <c r="D48" s="6"/>
      <c r="E48" s="41"/>
      <c r="F48" s="58" t="s">
        <v>94</v>
      </c>
      <c r="G48" s="37">
        <f>ROUND((1+C17)*Daten!C43*$C$15/100,-1)</f>
        <v>390</v>
      </c>
      <c r="H48" s="37">
        <f>ROUND($C$47*G48,-1)</f>
        <v>1170</v>
      </c>
      <c r="I48" s="37">
        <f>H48 * IF($C$8&lt;=M48,(C8/M48),1)</f>
        <v>1170</v>
      </c>
      <c r="J48" s="37">
        <f>H48-I48</f>
        <v>0</v>
      </c>
      <c r="K48" s="160" t="s">
        <v>56</v>
      </c>
      <c r="L48" s="160"/>
      <c r="M48" s="47">
        <v>30</v>
      </c>
      <c r="N48" s="14"/>
    </row>
    <row r="49" spans="1:14" ht="15.95" customHeight="1" x14ac:dyDescent="0.25">
      <c r="A49" s="14"/>
      <c r="B49" s="57"/>
      <c r="C49" s="6"/>
      <c r="D49" s="6"/>
      <c r="E49" s="41"/>
      <c r="F49" s="58" t="s">
        <v>95</v>
      </c>
      <c r="G49" s="37">
        <f>ROUND((1+C17)*Daten!C44*$C$15/100,-1)</f>
        <v>360</v>
      </c>
      <c r="H49" s="37">
        <f>ROUND($C$47*G49,-1)</f>
        <v>1080</v>
      </c>
      <c r="I49" s="37">
        <f>H49 * IF($C$8&lt;=M49,(C8/M49),1)</f>
        <v>1080</v>
      </c>
      <c r="J49" s="37">
        <f>H49-I49</f>
        <v>0</v>
      </c>
      <c r="K49" s="160" t="s">
        <v>56</v>
      </c>
      <c r="L49" s="160"/>
      <c r="M49" s="47">
        <v>30</v>
      </c>
      <c r="N49" s="14"/>
    </row>
    <row r="50" spans="1:14" ht="15.95" customHeight="1" x14ac:dyDescent="0.25">
      <c r="A50" s="14"/>
      <c r="B50" s="42"/>
      <c r="C50" s="43"/>
      <c r="D50" s="43"/>
      <c r="E50" s="44"/>
      <c r="F50" s="58" t="s">
        <v>96</v>
      </c>
      <c r="G50" s="59">
        <f>ROUND((1+C17)*Daten!C45*$C$15/100,-1)</f>
        <v>540</v>
      </c>
      <c r="H50" s="37">
        <f>ROUND($C$47*G50,-1)</f>
        <v>1620</v>
      </c>
      <c r="I50" s="37">
        <f>H50 * IF($C$8&lt;=M50,(C8/M50),1)</f>
        <v>1620</v>
      </c>
      <c r="J50" s="59">
        <f>H50-I50</f>
        <v>0</v>
      </c>
      <c r="K50" s="160" t="s">
        <v>56</v>
      </c>
      <c r="L50" s="160"/>
      <c r="M50" s="47">
        <v>30</v>
      </c>
      <c r="N50" s="14"/>
    </row>
    <row r="51" spans="1:14" ht="15.95" customHeight="1" x14ac:dyDescent="0.25">
      <c r="A51" s="14"/>
      <c r="B51" s="14"/>
      <c r="C51" s="14"/>
      <c r="D51" s="14"/>
      <c r="E51" s="14"/>
      <c r="F51" s="164"/>
      <c r="G51" s="164"/>
      <c r="H51" s="164"/>
      <c r="I51" s="164"/>
      <c r="J51" s="164"/>
      <c r="K51" s="164"/>
      <c r="L51" s="164"/>
      <c r="M51" s="164"/>
      <c r="N51" s="14"/>
    </row>
    <row r="52" spans="1:14" ht="45" x14ac:dyDescent="0.25">
      <c r="A52" s="14"/>
      <c r="B52" s="161" t="s">
        <v>30</v>
      </c>
      <c r="C52" s="161"/>
      <c r="D52" s="161"/>
      <c r="E52" s="161"/>
      <c r="F52" s="28" t="s">
        <v>31</v>
      </c>
      <c r="G52" s="162" t="s">
        <v>32</v>
      </c>
      <c r="H52" s="162"/>
      <c r="I52" s="2" t="s">
        <v>33</v>
      </c>
      <c r="J52" s="2" t="s">
        <v>34</v>
      </c>
      <c r="K52" s="162" t="s">
        <v>35</v>
      </c>
      <c r="L52" s="162"/>
      <c r="M52" s="2" t="s">
        <v>303</v>
      </c>
      <c r="N52" s="14"/>
    </row>
    <row r="53" spans="1:14" ht="15.95" customHeight="1" x14ac:dyDescent="0.25">
      <c r="A53" s="14"/>
      <c r="B53" s="163" t="str">
        <f>F53</f>
        <v>Wärmeerzeuger</v>
      </c>
      <c r="C53" s="163"/>
      <c r="D53" s="163"/>
      <c r="E53" s="163"/>
      <c r="F53" s="29" t="s">
        <v>97</v>
      </c>
      <c r="G53" s="30" t="s">
        <v>98</v>
      </c>
      <c r="H53" s="30" t="s">
        <v>99</v>
      </c>
      <c r="I53" s="30" t="s">
        <v>99</v>
      </c>
      <c r="J53" s="30" t="s">
        <v>99</v>
      </c>
      <c r="K53" s="31" t="s">
        <v>39</v>
      </c>
      <c r="L53" s="31" t="s">
        <v>40</v>
      </c>
      <c r="M53" s="31" t="s">
        <v>41</v>
      </c>
      <c r="N53" s="18"/>
    </row>
    <row r="54" spans="1:14" ht="15.95" customHeight="1" x14ac:dyDescent="0.25">
      <c r="A54" s="118" t="str">
        <f>Daten!A166</f>
        <v>Gaskessel</v>
      </c>
      <c r="B54" s="45" t="s">
        <v>77</v>
      </c>
      <c r="C54" s="34"/>
      <c r="D54" s="34"/>
      <c r="E54" s="46"/>
      <c r="F54" s="16" t="s">
        <v>296</v>
      </c>
      <c r="G54" s="37">
        <f t="shared" ref="G54:G62" si="3">ROUND((H54/$C$3),0)</f>
        <v>134</v>
      </c>
      <c r="H54" s="37">
        <f>ROUND((1+C17)*(((Daten!D48*$C$3^Daten!E48)*$C$3)*$C$15/100),-2)</f>
        <v>20100</v>
      </c>
      <c r="I54" s="37">
        <f>IF(VLOOKUP($C$6,$A$54:$H$81,8,FALSE)&gt;=0,VLOOKUP($C$6,$A$54:$H$81,8,FALSE),"Vollkosten der Bestandsanlage; Einzelfall prüfen") * IF($C$7&lt;=M54,(C7/M54),1)</f>
        <v>20100</v>
      </c>
      <c r="J54" s="37">
        <f t="shared" ref="J54:J62" si="4">IFERROR(H54-I54,"Einzelfall prüfen!")</f>
        <v>0</v>
      </c>
      <c r="K54" s="135" t="s">
        <v>100</v>
      </c>
      <c r="L54" s="38" t="s">
        <v>101</v>
      </c>
      <c r="M54" s="4">
        <v>20</v>
      </c>
      <c r="N54" s="14"/>
    </row>
    <row r="55" spans="1:14" ht="15.95" customHeight="1" x14ac:dyDescent="0.25">
      <c r="A55" s="118" t="str">
        <f>Daten!A167</f>
        <v>Ölkessel</v>
      </c>
      <c r="B55" s="166" t="s">
        <v>102</v>
      </c>
      <c r="C55" s="166"/>
      <c r="D55" s="166"/>
      <c r="E55" s="166"/>
      <c r="F55" s="16" t="s">
        <v>297</v>
      </c>
      <c r="G55" s="37">
        <f t="shared" si="3"/>
        <v>163</v>
      </c>
      <c r="H55" s="37">
        <f>ROUND((1+C17)*(((Daten!D49*$C$3^Daten!E49)*$C$3)*$C$15/100),-2)</f>
        <v>24400</v>
      </c>
      <c r="I55" s="37">
        <f>IF(VLOOKUP($C$6,$A$54:$H$81,8,FALSE)&gt;=0,VLOOKUP($C$6,$A$54:$H$81,8,FALSE),"Vollkosten der Bestandsanlage; Einzelfall prüfen") * IF($C$7&lt;=M55,(C7/M55),1)</f>
        <v>20100</v>
      </c>
      <c r="J55" s="37">
        <f t="shared" si="4"/>
        <v>4300</v>
      </c>
      <c r="K55" s="1" t="s">
        <v>103</v>
      </c>
      <c r="L55" s="38" t="s">
        <v>101</v>
      </c>
      <c r="M55" s="4">
        <v>20</v>
      </c>
      <c r="N55" s="14"/>
    </row>
    <row r="56" spans="1:14" ht="15.95" customHeight="1" x14ac:dyDescent="0.25">
      <c r="A56" s="118" t="str">
        <f>Daten!A168</f>
        <v>Pelletkessel</v>
      </c>
      <c r="B56" s="166"/>
      <c r="C56" s="166"/>
      <c r="D56" s="166"/>
      <c r="E56" s="166"/>
      <c r="F56" s="16" t="s">
        <v>104</v>
      </c>
      <c r="G56" s="37">
        <f t="shared" si="3"/>
        <v>265</v>
      </c>
      <c r="H56" s="37">
        <f>ROUND((1+C17)*(((Daten!D51*$C$3^Daten!E51)*$C$3)*$C$15/100),-2)</f>
        <v>39700</v>
      </c>
      <c r="I56" s="37">
        <f>IF(VLOOKUP($C$6,$A$54:$H$81,8,FALSE)&gt;=0,VLOOKUP($C$6,$A$54:$H$81,8,FALSE),"Vollkosten der Bestandsanlage; Einzelfall prüfen") * IF($C$7&lt;=M56,(C7/M56),1)</f>
        <v>20100</v>
      </c>
      <c r="J56" s="37">
        <f t="shared" si="4"/>
        <v>19600</v>
      </c>
      <c r="K56" s="1" t="s">
        <v>105</v>
      </c>
      <c r="L56" s="38" t="s">
        <v>101</v>
      </c>
      <c r="M56" s="4">
        <v>20</v>
      </c>
      <c r="N56" s="14"/>
    </row>
    <row r="57" spans="1:14" ht="15.95" customHeight="1" x14ac:dyDescent="0.25">
      <c r="A57" s="118" t="str">
        <f>Daten!A169</f>
        <v>Fernwärme</v>
      </c>
      <c r="B57" s="166"/>
      <c r="C57" s="166"/>
      <c r="D57" s="166"/>
      <c r="E57" s="166"/>
      <c r="F57" s="16" t="s">
        <v>106</v>
      </c>
      <c r="G57" s="37">
        <f t="shared" si="3"/>
        <v>115</v>
      </c>
      <c r="H57" s="37">
        <f>ROUND((1+C17)*(((Daten!D52*$C$3^Daten!E52)*$C$3)*$C$15/100),-2)</f>
        <v>17200</v>
      </c>
      <c r="I57" s="37">
        <f>IF(VLOOKUP($C$6,$A$54:$H$81,8,FALSE)&gt;=0,VLOOKUP($C$6,$A$54:$H$81,8,FALSE),"Vollkosten der Bestandsanlage; Einzelfall prüfen") * IF($C$7&lt;=M57,(C7/M57),1)</f>
        <v>20100</v>
      </c>
      <c r="J57" s="37">
        <f t="shared" si="4"/>
        <v>-2900</v>
      </c>
      <c r="K57" s="135" t="s">
        <v>107</v>
      </c>
      <c r="L57" s="38" t="s">
        <v>101</v>
      </c>
      <c r="M57" s="38" t="s">
        <v>108</v>
      </c>
      <c r="N57" s="14"/>
    </row>
    <row r="58" spans="1:14" ht="15.95" customHeight="1" x14ac:dyDescent="0.25">
      <c r="A58" s="118"/>
      <c r="B58" s="57" t="s">
        <v>109</v>
      </c>
      <c r="C58" s="60">
        <v>10</v>
      </c>
      <c r="D58" s="6" t="s">
        <v>110</v>
      </c>
      <c r="E58" s="120">
        <f>C5/C58</f>
        <v>1.2</v>
      </c>
      <c r="F58" s="16" t="s">
        <v>111</v>
      </c>
      <c r="G58" s="37">
        <f t="shared" si="3"/>
        <v>24</v>
      </c>
      <c r="H58" s="37">
        <f>ROUND(((1+C$17)*(C$58*(Daten!B54*$C$5^Daten!C54)*110.6/99.1)*$C$15/100),-2)</f>
        <v>3600</v>
      </c>
      <c r="I58" s="37">
        <f>IF(VLOOKUP($C$6,$A$54:$H$81,8,FALSE)&gt;=0,VLOOKUP($C$6,$A$54:$H$81,8,FALSE),"Vollkosten der Bestandsanlage; Einzelfall prüfen") * IF($C$7&lt;=M58,(C7/M58),1)</f>
        <v>20100</v>
      </c>
      <c r="J58" s="37">
        <f t="shared" si="4"/>
        <v>-16500</v>
      </c>
      <c r="K58" s="136" t="s">
        <v>112</v>
      </c>
      <c r="L58" s="38" t="s">
        <v>113</v>
      </c>
      <c r="M58" s="38" t="s">
        <v>108</v>
      </c>
      <c r="N58" s="14"/>
    </row>
    <row r="59" spans="1:14" ht="15.95" customHeight="1" x14ac:dyDescent="0.25">
      <c r="A59" s="118"/>
      <c r="B59" s="62"/>
      <c r="C59" s="63"/>
      <c r="D59" s="63"/>
      <c r="E59" s="61"/>
      <c r="F59" s="16" t="s">
        <v>114</v>
      </c>
      <c r="G59" s="37">
        <f t="shared" si="3"/>
        <v>39</v>
      </c>
      <c r="H59" s="37">
        <f>ROUND(((1+C$17)*(C$58*(Daten!B55*$C$5^Daten!C55)*110.6/99.1)*$C$15/100),-2)</f>
        <v>5800</v>
      </c>
      <c r="I59" s="37">
        <f>IF(VLOOKUP($C$6,$A$54:$H$81,8,FALSE)&gt;=0,VLOOKUP($C$6,$A$54:$H$81,8,FALSE),"Vollkosten der Bestandsanlage; Einzelfall prüfen")* IF($C$7&lt;=M59,(C7/M59),1)</f>
        <v>20100</v>
      </c>
      <c r="J59" s="37">
        <f t="shared" si="4"/>
        <v>-14300</v>
      </c>
      <c r="K59" s="136" t="s">
        <v>112</v>
      </c>
      <c r="L59" s="38" t="s">
        <v>113</v>
      </c>
      <c r="M59" s="38" t="s">
        <v>108</v>
      </c>
      <c r="N59" s="14"/>
    </row>
    <row r="60" spans="1:14" ht="15.95" customHeight="1" x14ac:dyDescent="0.25">
      <c r="A60" s="118" t="str">
        <f>Daten!A170</f>
        <v>Wärmepumpe (Erdkollektor)</v>
      </c>
      <c r="B60" s="57"/>
      <c r="C60" s="6"/>
      <c r="D60" s="6"/>
      <c r="E60" s="41"/>
      <c r="F60" s="16" t="s">
        <v>115</v>
      </c>
      <c r="G60" s="37">
        <f t="shared" si="3"/>
        <v>352</v>
      </c>
      <c r="H60" s="37">
        <f>ROUND(1000*((1+C17)*((Daten!E64*$C$5+Daten!F64)*110.6/99.1)*$C$15/100),-2)</f>
        <v>52800</v>
      </c>
      <c r="I60" s="37">
        <f>IF(VLOOKUP($C$6,$A$54:$H$81,8,FALSE)&gt;=0,VLOOKUP($C$6,$A$54:$H$81,8,FALSE),"Vollkosten der Bestandsanlage; Einzelfall prüfen") * IF($C$7&lt;=M60,(C7/M60),1)</f>
        <v>20100</v>
      </c>
      <c r="J60" s="37">
        <f t="shared" si="4"/>
        <v>32700</v>
      </c>
      <c r="K60" s="136" t="s">
        <v>116</v>
      </c>
      <c r="L60" s="38" t="s">
        <v>117</v>
      </c>
      <c r="M60" s="4">
        <v>20</v>
      </c>
      <c r="N60" s="14"/>
    </row>
    <row r="61" spans="1:14" ht="15.95" customHeight="1" x14ac:dyDescent="0.25">
      <c r="A61" s="118" t="str">
        <f>Daten!A171</f>
        <v>Wärmepumpe (Erdsonde)</v>
      </c>
      <c r="B61" s="57"/>
      <c r="C61" s="6"/>
      <c r="D61" s="6"/>
      <c r="E61" s="41"/>
      <c r="F61" s="16" t="s">
        <v>118</v>
      </c>
      <c r="G61" s="37">
        <f t="shared" si="3"/>
        <v>485</v>
      </c>
      <c r="H61" s="37">
        <f>ROUND(1000*((1+C17)*((Daten!E65*$C$5+Daten!F65)*110.6/99.1)*$C$15/100),-2)</f>
        <v>72700</v>
      </c>
      <c r="I61" s="37">
        <f>IF(VLOOKUP($C$6,$A$54:$H$81,8,FALSE)&gt;=0,VLOOKUP($C$6,$A$54:$H$81,8,FALSE),"Vollkosten der Bestandsanlage; Einzelfall prüfen") * IF($C$7&lt;=M61,(C7/M61),1)</f>
        <v>20100</v>
      </c>
      <c r="J61" s="37">
        <f t="shared" si="4"/>
        <v>52600</v>
      </c>
      <c r="K61" s="136" t="s">
        <v>119</v>
      </c>
      <c r="L61" s="38" t="s">
        <v>117</v>
      </c>
      <c r="M61" s="4">
        <v>20</v>
      </c>
      <c r="N61" s="14"/>
    </row>
    <row r="62" spans="1:14" ht="15.95" customHeight="1" x14ac:dyDescent="0.25">
      <c r="A62" s="118" t="str">
        <f>Daten!A172</f>
        <v>Wärmepumpe (Luft)</v>
      </c>
      <c r="B62" s="42"/>
      <c r="C62" s="43"/>
      <c r="D62" s="43"/>
      <c r="E62" s="44"/>
      <c r="F62" s="16" t="s">
        <v>120</v>
      </c>
      <c r="G62" s="37">
        <f t="shared" si="3"/>
        <v>288</v>
      </c>
      <c r="H62" s="37">
        <f>ROUND(1000*((1+C17)*((Daten!E66*$C$5+Daten!F66)*110.6/99.1)*$C$15/100),-2)</f>
        <v>43200</v>
      </c>
      <c r="I62" s="37">
        <f>IF(VLOOKUP($C$6,$A$54:$H$81,8,FALSE)&gt;=0,VLOOKUP($C$6,$A$54:$H$81,8,FALSE),"Vollkosten der Bestandsanlage; Einzelfall prüfen") * IF($C$7&lt;=M62,(C7/M62),1)</f>
        <v>20100</v>
      </c>
      <c r="J62" s="37">
        <f t="shared" si="4"/>
        <v>23100</v>
      </c>
      <c r="K62" s="136" t="s">
        <v>116</v>
      </c>
      <c r="L62" s="38" t="s">
        <v>117</v>
      </c>
      <c r="M62" s="4">
        <v>20</v>
      </c>
      <c r="N62" s="14"/>
    </row>
    <row r="63" spans="1:14" ht="15.95" customHeight="1" x14ac:dyDescent="0.25">
      <c r="A63" s="118"/>
      <c r="B63" s="14"/>
      <c r="C63" s="14"/>
      <c r="D63" s="14"/>
      <c r="E63" s="14"/>
      <c r="F63" s="164"/>
      <c r="G63" s="164"/>
      <c r="H63" s="164"/>
      <c r="I63" s="164"/>
      <c r="J63" s="164"/>
      <c r="K63" s="164"/>
      <c r="L63" s="164"/>
      <c r="M63" s="164"/>
      <c r="N63" s="14"/>
    </row>
    <row r="64" spans="1:14" ht="45" x14ac:dyDescent="0.25">
      <c r="A64" s="118"/>
      <c r="B64" s="161" t="s">
        <v>30</v>
      </c>
      <c r="C64" s="161"/>
      <c r="D64" s="161"/>
      <c r="E64" s="161"/>
      <c r="F64" s="28" t="s">
        <v>31</v>
      </c>
      <c r="G64" s="162" t="s">
        <v>32</v>
      </c>
      <c r="H64" s="162"/>
      <c r="I64" s="2" t="s">
        <v>33</v>
      </c>
      <c r="J64" s="2" t="s">
        <v>34</v>
      </c>
      <c r="K64" s="162" t="s">
        <v>35</v>
      </c>
      <c r="L64" s="162"/>
      <c r="M64" s="2" t="s">
        <v>303</v>
      </c>
      <c r="N64" s="14"/>
    </row>
    <row r="65" spans="1:14" ht="15.95" customHeight="1" x14ac:dyDescent="0.35">
      <c r="A65" s="118"/>
      <c r="B65" s="163" t="str">
        <f>F65</f>
        <v>Blockheizkraftwerk</v>
      </c>
      <c r="C65" s="163"/>
      <c r="D65" s="163"/>
      <c r="E65" s="163"/>
      <c r="F65" s="29" t="s">
        <v>121</v>
      </c>
      <c r="G65" s="30" t="s">
        <v>122</v>
      </c>
      <c r="H65" s="30" t="s">
        <v>99</v>
      </c>
      <c r="I65" s="30" t="s">
        <v>99</v>
      </c>
      <c r="J65" s="30" t="s">
        <v>99</v>
      </c>
      <c r="K65" s="31" t="s">
        <v>39</v>
      </c>
      <c r="L65" s="31" t="s">
        <v>40</v>
      </c>
      <c r="M65" s="31" t="s">
        <v>41</v>
      </c>
      <c r="N65" s="14"/>
    </row>
    <row r="66" spans="1:14" ht="15.95" customHeight="1" x14ac:dyDescent="0.35">
      <c r="A66" s="118" t="str">
        <f>Daten!A173</f>
        <v>BHKW – Erdgas</v>
      </c>
      <c r="B66" s="45" t="s">
        <v>123</v>
      </c>
      <c r="C66" s="67">
        <v>4.5999999999999996</v>
      </c>
      <c r="D66" s="34" t="s">
        <v>124</v>
      </c>
      <c r="E66" s="149">
        <f>IF($C$66&lt;=10,((Daten!B76*$C$66^Daten!C76)*$C$15/100)*1.19,IF($C$66&lt;=100,((Daten!B77*$C$66^Daten!C77)*$C$15/100*1.19),IF($C$66&lt;=1000,((Daten!B78*$C$66^Daten!C78)*$C$15/100*1.19),IF($C$66&lt;=19000,((Daten!B79*$C$66^Daten!C79)*$C$15/100*1.19),0))))</f>
        <v>8597.5778525857622</v>
      </c>
      <c r="F66" s="16" t="s">
        <v>125</v>
      </c>
      <c r="G66" s="37">
        <f>(1+C17)*(E66+E66*IF($C$66&lt;Daten!$B$100,Daten!$E$100/100,IF($C$66&lt;Daten!$C$101,Daten!$E$101/100,IF($C$66&lt;Daten!$C$102,Daten!$E$102/100,IF($C$66&lt;Daten!$C$103,Daten!$E$103/100,IF($C$66&lt;Daten!$C$104,Daten!$E$104/100,IF($C$66&lt;Daten!$C$105,Daten!$E$105/100,IF($C$66&lt;Daten!$C$106,Daten!$E$106/100,IF($C$66&lt;Daten!$C$107,Daten!$E$107/100,IF($C$66&lt;Daten!$C$108,Daten!$E$108/100,Daten!$E$109/100)))))))))+E66*IF($C$66&lt;Daten!$B$100,Daten!$G$100/100,IF($C$66&lt;Daten!$C$101,Daten!$G$101/100,IF($C$66&lt;Daten!$C$102,Daten!$G$102/100,IF($C$66&lt;Daten!$C$103,Daten!$G$103/100,IF($C$66&lt;Daten!$C$104,Daten!$G$104/100,IF($C$66&lt;Daten!$C$105,Daten!$G$105/100,IF($C$66&lt;Daten!$C$106,Daten!$G$106/100,IF($C$66&lt;Daten!$C$107,Daten!$G$107/100,IF($C$66&lt;Daten!$C$108,Daten!$G$108/100,Daten!$G$109/100))))))))))</f>
        <v>14929.693941015175</v>
      </c>
      <c r="H66" s="37">
        <f>ROUND(G66*$C$66,-2)</f>
        <v>68700</v>
      </c>
      <c r="I66" s="37">
        <f>IF(VLOOKUP($C$6,$A$54:$H$81,8,FALSE)&gt;=0,VLOOKUP($C$6,$A$54:$H$81,8,FALSE),"Vollkosten der Bestandsanlage; Einzelfall prüfen") * IF($C$7&lt;=M66,(C7/M66),1)</f>
        <v>20100</v>
      </c>
      <c r="J66" s="37">
        <f>IFERROR(H66-I66,"Einzelfall prüfen!")</f>
        <v>48600</v>
      </c>
      <c r="K66" s="138" t="s">
        <v>126</v>
      </c>
      <c r="L66" s="38" t="s">
        <v>127</v>
      </c>
      <c r="M66" s="47">
        <v>15</v>
      </c>
      <c r="N66" s="14"/>
    </row>
    <row r="67" spans="1:14" ht="15.95" customHeight="1" x14ac:dyDescent="0.25">
      <c r="A67" s="118" t="str">
        <f>Daten!A174</f>
        <v>BHKW – Biogas</v>
      </c>
      <c r="B67" s="57"/>
      <c r="C67" s="150"/>
      <c r="D67" s="123"/>
      <c r="E67" s="65" t="e" cm="1">
        <f t="array" ref="E67">_xlfn.IFS($C$66&lt;10,((Daten!B80*$C$66^Daten!C80)*$C$15/100)*1.19,$C$66&lt;=100,((Daten!B81*$C$66^Daten!C81)*$C$15/100)*1.19,$C$66&lt;=1000,((Daten!B82*$C$66^Daten!C82)*$C$15/100)*1.19,$C$66&lt;=9000,((Daten!B83*$C$66^Daten!C83)*$C$15/100)*1.19,TRUE,0)</f>
        <v>#VALUE!</v>
      </c>
      <c r="F67" s="16" t="s">
        <v>128</v>
      </c>
      <c r="G67" s="37" t="str">
        <f>IF(C66&lt;10,"Einzelfall prüfen!",(1+C17)*(E67+E67*IF($C$66&lt;Daten!$B$100,Daten!$E$100/100,IF($C$66&lt;Daten!$C$101,Daten!$E$101/100,IF($C$66&lt;Daten!$C$102,Daten!$E$102/100,IF($C$66&lt;Daten!$C$103,Daten!$E$103/100,IF($C$66&lt;Daten!$C$104,Daten!$E$104/100,IF($C$66&lt;Daten!$C$105,Daten!$E$105/100,IF($C$66&lt;Daten!$C$106,Daten!$E$106/100,IF($C$66&lt;Daten!$C$107,Daten!$E$107/100,IF($C$66&lt;Daten!$C$108,Daten!$E$108/100,Daten!$E$109/100)))))))))+E67*IF($C$66&lt;Daten!$B$100,Daten!$G$100/100,IF($C$66&lt;Daten!$C$101,Daten!$G$101/100,IF($C$66&lt;Daten!$C$102,Daten!$G$102/100,IF($C$66&lt;Daten!$C$103,Daten!$G$103/100,IF($C$66&lt;Daten!$C$104,Daten!$G$104/100,IF($C$66&lt;Daten!$C$105,Daten!$G$105/100,IF($C$66&lt;Daten!$C$106,Daten!$G$106/100,IF($C$66&lt;Daten!$C$107,Daten!$G$107/100,IF($C$66&lt;Daten!$C$108,Daten!$G$108/100,Daten!$G$109/100)))))))))))</f>
        <v>Einzelfall prüfen!</v>
      </c>
      <c r="H67" s="37" t="str">
        <f>IF(C66&lt;10,"Einzelfall prüfen!",ROUND(G67*$C$66,-2))</f>
        <v>Einzelfall prüfen!</v>
      </c>
      <c r="I67" s="37">
        <f>IF(VLOOKUP($C$6,$A$54:$H$81,8,FALSE)&gt;=0,VLOOKUP($C$6,$A$54:$H$81,8,FALSE),"Vollkosten der Bestandsanlage; Einzelfall prüfen") * IF($C$7&lt;=M67,(C7/M67),1)</f>
        <v>20100</v>
      </c>
      <c r="J67" s="37" t="str">
        <f>IFERROR(H67-I67,"Einzelfall prüfen!")</f>
        <v>Einzelfall prüfen!</v>
      </c>
      <c r="K67" s="138" t="s">
        <v>129</v>
      </c>
      <c r="L67" s="38" t="s">
        <v>127</v>
      </c>
      <c r="M67" s="47">
        <v>15</v>
      </c>
      <c r="N67" s="14"/>
    </row>
    <row r="68" spans="1:14" ht="15.95" customHeight="1" x14ac:dyDescent="0.25">
      <c r="A68" s="118" t="str">
        <f>Daten!A175</f>
        <v>BHKW – Klärgas</v>
      </c>
      <c r="B68" s="57"/>
      <c r="C68" s="150"/>
      <c r="D68" s="123"/>
      <c r="E68" s="65" t="e" cm="1">
        <f t="array" ref="E68">_xlfn.IFS($C$66&lt;10,((Daten!B84*$C$66^Daten!C84)*$C$15/100)*1.19,$C$66&lt;=100,((Daten!B85*$C$66^Daten!C85)*$C$15/100)*1.19,$C$66&lt;=1000,((Daten!B86*$C$66^Daten!C86)*$C$15/100)*1.19,$C$66&lt;=9000,((Daten!B87*$C$66^Daten!C87)*$C$15/100)*1.19,TRUE,0)</f>
        <v>#VALUE!</v>
      </c>
      <c r="F68" s="16" t="s">
        <v>130</v>
      </c>
      <c r="G68" s="37" t="str">
        <f>IF(C66&lt;10,"Einzelfall prüfen!",(1+C17)*(E68+E68*IF($C$66&lt;Daten!$B$100,Daten!$E$100/100,IF($C$66&lt;Daten!$C$101,Daten!$E$101/100,IF($C$66&lt;Daten!$C$102,Daten!$E$102/100,IF($C$66&lt;Daten!$C$103,Daten!$E$103/100,IF($C$66&lt;Daten!$C$104,Daten!$E$104/100,IF($C$66&lt;Daten!$C$105,Daten!$E$105/100,IF($C$66&lt;Daten!$C$106,Daten!$E$106/100,IF($C$66&lt;Daten!$C$107,Daten!$E$107/100,IF($C$66&lt;Daten!$C$108,Daten!$E$108/100,Daten!$E$109/100)))))))))+E68*IF($C$66&lt;Daten!$B$100,Daten!$G$100/100,IF($C$66&lt;Daten!$C$101,Daten!$G$101/100,IF($C$66&lt;Daten!$C$102,Daten!$G$102/100,IF($C$66&lt;Daten!$C$103,Daten!$G$103/100,IF($C$66&lt;Daten!$C$104,Daten!$G$104/100,IF($C$66&lt;Daten!$C$105,Daten!$G$105/100,IF($C$66&lt;Daten!$C$106,Daten!$G$106/100,IF($C$66&lt;Daten!$C$107,Daten!$G$107/100,IF($C$66&lt;Daten!$C$108,Daten!$G$108/100,Daten!$G$109/100)))))))))))</f>
        <v>Einzelfall prüfen!</v>
      </c>
      <c r="H68" s="37" t="str">
        <f>IF(C66&lt;10,"Einzelfall prüfen!",ROUND(G68*$C$66,-2))</f>
        <v>Einzelfall prüfen!</v>
      </c>
      <c r="I68" s="37">
        <f>IF(VLOOKUP($C$6,$A$54:$H$81,8,FALSE)&gt;=0,VLOOKUP($C$6,$A$54:$H$81,8,FALSE),"Vollkosten der Bestandsanlage; Einzelfall prüfen")* IF($C$7&lt;=M68,(C7/M68),1)</f>
        <v>20100</v>
      </c>
      <c r="J68" s="37" t="str">
        <f>IFERROR(H68-I68,"Einzelfall prüfen!")</f>
        <v>Einzelfall prüfen!</v>
      </c>
      <c r="K68" s="138" t="s">
        <v>131</v>
      </c>
      <c r="L68" s="38" t="s">
        <v>127</v>
      </c>
      <c r="M68" s="47">
        <v>15</v>
      </c>
      <c r="N68" s="14"/>
    </row>
    <row r="69" spans="1:14" ht="15.95" customHeight="1" x14ac:dyDescent="0.25">
      <c r="A69" s="118" t="str">
        <f>Daten!A176</f>
        <v>BHKW – Flüssiggas</v>
      </c>
      <c r="B69" s="57"/>
      <c r="C69" s="150"/>
      <c r="D69" s="123"/>
      <c r="E69" s="65">
        <f>IF($C$66&lt;=10,((Daten!B88*$C$66^Daten!C88)*$C$15/100)*1.19,IF($C$66&lt;=100,((Daten!B89*$C$66^Daten!C89)*$C$15/100*1.19),IF($C$66&lt;=1000,((Daten!B90*$C$66^Daten!C90)*$C$15/100*1.19),0)))</f>
        <v>8517.8924273453449</v>
      </c>
      <c r="F69" s="16" t="s">
        <v>132</v>
      </c>
      <c r="G69" s="37">
        <f>(1+C17)*(E69+E69*IF($C$66&lt;Daten!$B$100,Daten!$E$100/100,IF($C$66&lt;Daten!$C$101,Daten!$E$101/100,IF($C$66&lt;Daten!$C$102,Daten!$E$102/100,IF($C$66&lt;Daten!$C$103,Daten!$E$103/100,IF($C$66&lt;Daten!$C$104,Daten!$E$104/100,IF($C$66&lt;Daten!$C$105,Daten!$E$105/100,IF($C$66&lt;Daten!$C$106,Daten!$E$106/100,IF($C$66&lt;Daten!$C$107,Daten!$E$107/100,IF($C$66&lt;Daten!$C$108,Daten!$E$108/100,Daten!$E$109/100)))))))))+E69*IF($C$66&lt;Daten!$B$100,Daten!$G$100/100,IF($C$66&lt;Daten!$C$101,Daten!$G$101/100,IF($C$66&lt;Daten!$C$102,Daten!$G$102/100,IF($C$66&lt;Daten!$C$103,Daten!$G$103/100,IF($C$66&lt;Daten!$C$104,Daten!$G$104/100,IF($C$66&lt;Daten!$C$105,Daten!$G$105/100,IF($C$66&lt;Daten!$C$106,Daten!$G$106/100,IF($C$66&lt;Daten!$C$107,Daten!$G$107/100,IF($C$66&lt;Daten!$C$108,Daten!$G$108/100,Daten!$G$109/100))))))))))</f>
        <v>14791.320200085189</v>
      </c>
      <c r="H69" s="37">
        <f>ROUND(G69*$C$66,-2)</f>
        <v>68000</v>
      </c>
      <c r="I69" s="37">
        <f>IF(VLOOKUP($C$6,$A$54:$H$81,8,FALSE)&gt;=0,VLOOKUP($C$6,$A$54:$H$81,8,FALSE),"Vollkosten der Bestandsanlage; Einzelfall prüfen")* IF($C$7&lt;=M69,(C7/M69),1)</f>
        <v>20100</v>
      </c>
      <c r="J69" s="37">
        <f>IFERROR(H69-I69,"Einzelfall prüfen!")</f>
        <v>47900</v>
      </c>
      <c r="K69" s="138" t="s">
        <v>133</v>
      </c>
      <c r="L69" s="38" t="s">
        <v>127</v>
      </c>
      <c r="M69" s="47">
        <v>15</v>
      </c>
      <c r="N69" s="14"/>
    </row>
    <row r="70" spans="1:14" ht="15.95" customHeight="1" x14ac:dyDescent="0.25">
      <c r="A70" s="118" t="str">
        <f>Daten!A177</f>
        <v>BHKW – Heizöl</v>
      </c>
      <c r="B70" s="42"/>
      <c r="C70" s="151"/>
      <c r="D70" s="43"/>
      <c r="E70" s="152">
        <f>IF($C$66&lt;=10,((Daten!B92*$C$66^Daten!C92)*$C$15/100)*1.19,IF($C$66&lt;=100,((Daten!B93*$C$66^Daten!C93)*$C$15/100*1.19),0))</f>
        <v>7956.0414992523802</v>
      </c>
      <c r="F70" s="16" t="s">
        <v>134</v>
      </c>
      <c r="G70" s="37">
        <f>(1+C17)*(E70+E70*IF($C$66&lt;Daten!$B$100,Daten!$E$100/100,IF($C$66&lt;Daten!$C$101,Daten!$E$101/100,IF($C$66&lt;Daten!$C$102,Daten!$E$102/100,IF($C$66&lt;Daten!$C$103,Daten!$E$103/100,IF($C$66&lt;Daten!$C$104,Daten!$E$104/100,IF($C$66&lt;Daten!$C$105,Daten!$E$105/100,IF($C$66&lt;Daten!$C$106,Daten!$E$106/100,IF($C$66&lt;Daten!$C$107,Daten!$E$107/100,IF($C$66&lt;Daten!$C$108,Daten!$E$108/100,Daten!$E$109/100)))))))))+E70*IF($C$66&lt;Daten!$B$100,Daten!$G$100/100,IF($C$66&lt;Daten!$C$101,Daten!$G$101/100,IF($C$66&lt;Daten!$C$102,Daten!$G$102/100,IF($C$66&lt;Daten!$C$103,Daten!$G$103/100,IF($C$66&lt;Daten!$C$104,Daten!$G$104/100,IF($C$66&lt;Daten!$C$105,Daten!$G$105/100,IF($C$66&lt;Daten!$C$106,Daten!$G$106/100,IF($C$66&lt;Daten!$C$107,Daten!$G$107/100,IF($C$66&lt;Daten!$C$108,Daten!$G$108/100,Daten!$G$109/100))))))))))</f>
        <v>13815.666063451758</v>
      </c>
      <c r="H70" s="37">
        <f>ROUND(G70*$C$66,-2)</f>
        <v>63600</v>
      </c>
      <c r="I70" s="37">
        <f>IF(VLOOKUP($C$6,$A$54:$H$81,8,FALSE)&gt;=0,VLOOKUP($C$6,$A$54:$H$81,8,FALSE),"Vollkosten der Bestandsanlage; Einzelfall prüfen") * IF($C$7&lt;=M70,(C7/M70),1)</f>
        <v>20100</v>
      </c>
      <c r="J70" s="37">
        <f>IFERROR(H70-I70,"Einzelfall prüfen!")</f>
        <v>43500</v>
      </c>
      <c r="K70" s="138" t="s">
        <v>135</v>
      </c>
      <c r="L70" s="38" t="s">
        <v>127</v>
      </c>
      <c r="M70" s="47">
        <v>15</v>
      </c>
      <c r="N70" s="14"/>
    </row>
    <row r="71" spans="1:14" ht="15.95" customHeight="1" x14ac:dyDescent="0.25">
      <c r="A71" s="118"/>
      <c r="B71" s="14"/>
      <c r="C71" s="14"/>
      <c r="D71" s="14"/>
      <c r="E71" s="14"/>
      <c r="F71" s="14"/>
      <c r="G71" s="49"/>
      <c r="H71" s="49"/>
      <c r="I71" s="49"/>
      <c r="J71" s="49"/>
      <c r="K71" s="49"/>
      <c r="L71" s="49"/>
      <c r="M71" s="49"/>
      <c r="N71" s="14"/>
    </row>
    <row r="72" spans="1:14" ht="45" x14ac:dyDescent="0.25">
      <c r="A72" s="118"/>
      <c r="B72" s="161" t="s">
        <v>30</v>
      </c>
      <c r="C72" s="161"/>
      <c r="D72" s="161"/>
      <c r="E72" s="161"/>
      <c r="F72" s="28" t="s">
        <v>31</v>
      </c>
      <c r="G72" s="162" t="s">
        <v>32</v>
      </c>
      <c r="H72" s="162"/>
      <c r="I72" s="2" t="s">
        <v>33</v>
      </c>
      <c r="J72" s="2" t="s">
        <v>34</v>
      </c>
      <c r="K72" s="162" t="s">
        <v>35</v>
      </c>
      <c r="L72" s="162"/>
      <c r="M72" s="2" t="s">
        <v>303</v>
      </c>
      <c r="N72" s="14"/>
    </row>
    <row r="73" spans="1:14" ht="15.95" customHeight="1" x14ac:dyDescent="0.25">
      <c r="A73" s="118"/>
      <c r="B73" s="163" t="str">
        <f>F73</f>
        <v>Wärmeerzeuger + Solarthermie</v>
      </c>
      <c r="C73" s="163"/>
      <c r="D73" s="163"/>
      <c r="E73" s="163"/>
      <c r="F73" s="29" t="s">
        <v>136</v>
      </c>
      <c r="G73" s="30" t="s">
        <v>98</v>
      </c>
      <c r="H73" s="30" t="s">
        <v>99</v>
      </c>
      <c r="I73" s="30" t="s">
        <v>99</v>
      </c>
      <c r="J73" s="30" t="s">
        <v>99</v>
      </c>
      <c r="K73" s="31" t="s">
        <v>39</v>
      </c>
      <c r="L73" s="31" t="s">
        <v>40</v>
      </c>
      <c r="M73" s="31" t="s">
        <v>41</v>
      </c>
      <c r="N73" s="14"/>
    </row>
    <row r="74" spans="1:14" ht="15.95" customHeight="1" x14ac:dyDescent="0.25">
      <c r="A74" s="118" t="str">
        <f>Daten!A165</f>
        <v xml:space="preserve">Dropdownliste Auswahl Kessel im Bestand: </v>
      </c>
      <c r="B74" s="66" t="s">
        <v>137</v>
      </c>
      <c r="C74" s="67">
        <v>5.8</v>
      </c>
      <c r="D74" s="34" t="s">
        <v>43</v>
      </c>
      <c r="E74" s="46"/>
      <c r="F74" s="16" t="s">
        <v>138</v>
      </c>
      <c r="G74" s="37">
        <f t="shared" ref="G74:G81" si="5">ROUND((H74/$C$3),0)</f>
        <v>49</v>
      </c>
      <c r="H74" s="37">
        <f>ROUND((1+C17)*((Daten!B118*$C$74^Daten!C118)*$C$74*$C$15*1.19/100/112.5*C11),-2)</f>
        <v>7300</v>
      </c>
      <c r="I74" s="37">
        <v>0</v>
      </c>
      <c r="J74" s="37">
        <f>H74-I74</f>
        <v>7300</v>
      </c>
      <c r="K74" s="1" t="s">
        <v>139</v>
      </c>
      <c r="L74" s="38" t="s">
        <v>101</v>
      </c>
      <c r="M74" s="4">
        <v>20</v>
      </c>
      <c r="N74" s="14"/>
    </row>
    <row r="75" spans="1:14" ht="15.95" customHeight="1" x14ac:dyDescent="0.25">
      <c r="A75" s="118" t="str">
        <f>Daten!A178</f>
        <v>Solar für WW mit Gaskessel</v>
      </c>
      <c r="B75" s="68" t="s">
        <v>140</v>
      </c>
      <c r="C75" s="69"/>
      <c r="D75" s="69"/>
      <c r="E75" s="41"/>
      <c r="F75" s="16" t="s">
        <v>285</v>
      </c>
      <c r="G75" s="37">
        <f t="shared" si="5"/>
        <v>189</v>
      </c>
      <c r="H75" s="37">
        <f>ROUND((1+C17)*(H54+H74)*(1-Daten!D120),-2)</f>
        <v>28400</v>
      </c>
      <c r="I75" s="37">
        <f>IF(VLOOKUP($C$6,$A$54:$H$81,8,FALSE)&gt;=0,VLOOKUP($C$6,$A$54:$H$81,8,FALSE),"Vollkosten der Bestandsanlage; Einzelfall prüfen") * IF($C$7&lt;=M75,(C7/M75),1)</f>
        <v>20100</v>
      </c>
      <c r="J75" s="37">
        <f>IFERROR(H75-I75,"Einzelfall prüfen!")</f>
        <v>8300</v>
      </c>
      <c r="K75" s="1" t="s">
        <v>141</v>
      </c>
      <c r="L75" s="38" t="s">
        <v>101</v>
      </c>
      <c r="M75" s="4">
        <v>20</v>
      </c>
      <c r="N75" s="14"/>
    </row>
    <row r="76" spans="1:14" ht="15.95" customHeight="1" x14ac:dyDescent="0.25">
      <c r="A76" s="118" t="str">
        <f>Daten!A179</f>
        <v>Solar für WW mit Ölkessel</v>
      </c>
      <c r="B76" s="68" t="s">
        <v>142</v>
      </c>
      <c r="C76" s="69">
        <f>ROUND(0.095*$C$3^0.8*1.1,1)</f>
        <v>5.8</v>
      </c>
      <c r="D76" s="69" t="s">
        <v>43</v>
      </c>
      <c r="E76" s="41"/>
      <c r="F76" s="16" t="s">
        <v>286</v>
      </c>
      <c r="G76" s="37">
        <f t="shared" si="5"/>
        <v>219</v>
      </c>
      <c r="H76" s="37">
        <f>ROUND((1+C17)*(H55+H74)*(1-Daten!D120),-2)</f>
        <v>32800</v>
      </c>
      <c r="I76" s="37">
        <f>IF(VLOOKUP($C$6,$A$54:$H$81,8,FALSE)&gt;=0,VLOOKUP($C$6,$A$54:$H$81,8,FALSE),"Vollkosten der Bestandsanlage; Einzelfall prüfen") * IF($C$7&lt;=M76,(C7/M76),1)</f>
        <v>20100</v>
      </c>
      <c r="J76" s="37">
        <f>IFERROR(H76-I76,"Einzelfall prüfen!")</f>
        <v>12700</v>
      </c>
      <c r="K76" s="1" t="s">
        <v>141</v>
      </c>
      <c r="L76" s="38" t="s">
        <v>101</v>
      </c>
      <c r="M76" s="4">
        <v>20</v>
      </c>
      <c r="N76" s="14"/>
    </row>
    <row r="77" spans="1:14" ht="15.95" customHeight="1" x14ac:dyDescent="0.25">
      <c r="A77" s="118" t="str">
        <f>Daten!A180</f>
        <v>Solar für WW mit Pelletkessel</v>
      </c>
      <c r="B77" s="57"/>
      <c r="C77" s="6"/>
      <c r="D77" s="6"/>
      <c r="E77" s="41"/>
      <c r="F77" s="16" t="s">
        <v>143</v>
      </c>
      <c r="G77" s="37">
        <f t="shared" si="5"/>
        <v>324</v>
      </c>
      <c r="H77" s="37">
        <f>ROUND((1+C17)*(H56+H74)*(1-Daten!D120),-2)</f>
        <v>48600</v>
      </c>
      <c r="I77" s="37">
        <f>IF(VLOOKUP($C$6,$A$54:$H$81,8,FALSE)&gt;=0,VLOOKUP($C$6,$A$54:$H$81,8,FALSE),"Vollkosten der Bestandsanlage; Einzelfall prüfen") * IF($C$7&lt;=M77,(C7/M77),1)</f>
        <v>20100</v>
      </c>
      <c r="J77" s="37">
        <f>IFERROR(H77-I77,"Einzelfall prüfen!")</f>
        <v>28500</v>
      </c>
      <c r="K77" s="1" t="s">
        <v>144</v>
      </c>
      <c r="L77" s="38" t="s">
        <v>101</v>
      </c>
      <c r="M77" s="4">
        <v>20</v>
      </c>
      <c r="N77" s="14"/>
    </row>
    <row r="78" spans="1:14" ht="15.95" customHeight="1" x14ac:dyDescent="0.25">
      <c r="A78" s="118" t="str">
        <f>Daten!A165</f>
        <v xml:space="preserve">Dropdownliste Auswahl Kessel im Bestand: </v>
      </c>
      <c r="B78" s="70" t="s">
        <v>145</v>
      </c>
      <c r="C78" s="64">
        <v>11.5</v>
      </c>
      <c r="D78" s="6" t="s">
        <v>43</v>
      </c>
      <c r="E78" s="41"/>
      <c r="F78" s="16" t="s">
        <v>146</v>
      </c>
      <c r="G78" s="37">
        <f t="shared" si="5"/>
        <v>82</v>
      </c>
      <c r="H78" s="37">
        <f>ROUND((1+C17)*(((Daten!B119*$C$78^Daten!C119)*$C$78)*$C$15/100*1.19/112.5*C11),-2)</f>
        <v>12300</v>
      </c>
      <c r="I78" s="37">
        <v>0</v>
      </c>
      <c r="J78" s="37">
        <f>H78-I78</f>
        <v>12300</v>
      </c>
      <c r="K78" s="1" t="s">
        <v>147</v>
      </c>
      <c r="L78" s="38" t="s">
        <v>101</v>
      </c>
      <c r="M78" s="4">
        <v>20</v>
      </c>
      <c r="N78" s="14"/>
    </row>
    <row r="79" spans="1:14" ht="15.95" customHeight="1" x14ac:dyDescent="0.25">
      <c r="A79" s="118" t="str">
        <f>Daten!A181</f>
        <v>Solar für WW&amp;H mit Gaskessel</v>
      </c>
      <c r="B79" s="68" t="s">
        <v>140</v>
      </c>
      <c r="C79" s="69"/>
      <c r="D79" s="69"/>
      <c r="E79" s="41"/>
      <c r="F79" s="16" t="s">
        <v>287</v>
      </c>
      <c r="G79" s="37">
        <f t="shared" si="5"/>
        <v>223</v>
      </c>
      <c r="H79" s="37">
        <f>ROUND((1+C17)*(H54+H78)*(1-Daten!D121),-2)</f>
        <v>33500</v>
      </c>
      <c r="I79" s="37">
        <f>IF(VLOOKUP($C$6,$A$54:$H$81,8,FALSE)&gt;=0,VLOOKUP($C$6,$A$54:$H$81,8,FALSE),"Vollkosten der Bestandsanlage; Einzelfall prüfen") * IF($C$7&lt;=M79,(C7/M79),1)</f>
        <v>20100</v>
      </c>
      <c r="J79" s="37">
        <f>IFERROR(H79-I79,"Einzelfall prüfen!")</f>
        <v>13400</v>
      </c>
      <c r="K79" s="1" t="s">
        <v>148</v>
      </c>
      <c r="L79" s="38" t="s">
        <v>101</v>
      </c>
      <c r="M79" s="4">
        <v>20</v>
      </c>
      <c r="N79" s="14"/>
    </row>
    <row r="80" spans="1:14" ht="15.95" customHeight="1" x14ac:dyDescent="0.25">
      <c r="A80" s="118" t="str">
        <f>Daten!A182</f>
        <v>Solar für WW&amp;H mit Ölkessel</v>
      </c>
      <c r="B80" s="68" t="s">
        <v>149</v>
      </c>
      <c r="C80" s="69">
        <f>ROUND(0.19*$C$3^0.8*1.1,1)</f>
        <v>11.5</v>
      </c>
      <c r="D80" s="69" t="s">
        <v>43</v>
      </c>
      <c r="E80" s="41"/>
      <c r="F80" s="16" t="s">
        <v>288</v>
      </c>
      <c r="G80" s="37">
        <f t="shared" si="5"/>
        <v>253</v>
      </c>
      <c r="H80" s="37">
        <f>ROUND((1+C17)*(H55+H78)*(1-Daten!D121),-2)</f>
        <v>38000</v>
      </c>
      <c r="I80" s="37">
        <f>IF(VLOOKUP($C$6,$A$54:$H$81,8,FALSE)&gt;=0,VLOOKUP($C$6,$A$54:$H$81,8,FALSE),"Vollkosten der Bestandsanlage; Einzelfall prüfen") * IF($C$7&lt;=M80,(C7/M80),1)</f>
        <v>20100</v>
      </c>
      <c r="J80" s="37">
        <f>IFERROR(H80-I80,"Einzelfall prüfen!")</f>
        <v>17900</v>
      </c>
      <c r="K80" s="1" t="s">
        <v>148</v>
      </c>
      <c r="L80" s="38" t="s">
        <v>101</v>
      </c>
      <c r="M80" s="4">
        <v>20</v>
      </c>
      <c r="N80" s="14"/>
    </row>
    <row r="81" spans="1:14" ht="15.95" customHeight="1" x14ac:dyDescent="0.25">
      <c r="A81" s="118" t="str">
        <f>Daten!A183</f>
        <v>Solar für WW&amp;H mit Pelletkessel</v>
      </c>
      <c r="B81" s="42"/>
      <c r="C81" s="43"/>
      <c r="D81" s="43"/>
      <c r="E81" s="44"/>
      <c r="F81" s="16" t="s">
        <v>150</v>
      </c>
      <c r="G81" s="37">
        <f t="shared" si="5"/>
        <v>359</v>
      </c>
      <c r="H81" s="37">
        <f>ROUND((1+C17)*(H56+H78)*(1-Daten!D121),-2)</f>
        <v>53800</v>
      </c>
      <c r="I81" s="37">
        <f>IF(VLOOKUP($C$6,$A$54:$H$81,8,FALSE)&gt;=0,VLOOKUP($C$6,$A$54:$H$81,8,FALSE),"Vollkosten der Bestandsanlage; Einzelfall prüfen") * IF($C$7&lt;=M81,(C7/M81),1)</f>
        <v>20100</v>
      </c>
      <c r="J81" s="37">
        <f>IFERROR(H81-I81,"Einzelfall prüfen!")</f>
        <v>33700</v>
      </c>
      <c r="K81" s="1" t="s">
        <v>151</v>
      </c>
      <c r="L81" s="38" t="s">
        <v>101</v>
      </c>
      <c r="M81" s="4">
        <v>20</v>
      </c>
      <c r="N81" s="14"/>
    </row>
    <row r="82" spans="1:14" ht="15.95" customHeight="1" x14ac:dyDescent="0.25">
      <c r="A82" s="14"/>
      <c r="B82" s="14"/>
      <c r="C82" s="14"/>
      <c r="D82" s="14"/>
      <c r="E82" s="14"/>
      <c r="F82" s="164"/>
      <c r="G82" s="164"/>
      <c r="H82" s="164"/>
      <c r="I82" s="164"/>
      <c r="J82" s="164"/>
      <c r="K82" s="164"/>
      <c r="L82" s="164"/>
      <c r="M82" s="164"/>
      <c r="N82" s="14"/>
    </row>
    <row r="83" spans="1:14" ht="45" x14ac:dyDescent="0.25">
      <c r="A83" s="14"/>
      <c r="B83" s="161" t="s">
        <v>30</v>
      </c>
      <c r="C83" s="161"/>
      <c r="D83" s="161"/>
      <c r="E83" s="161"/>
      <c r="F83" s="28" t="s">
        <v>31</v>
      </c>
      <c r="G83" s="162" t="s">
        <v>32</v>
      </c>
      <c r="H83" s="162"/>
      <c r="I83" s="2" t="s">
        <v>33</v>
      </c>
      <c r="J83" s="2" t="s">
        <v>34</v>
      </c>
      <c r="K83" s="162" t="s">
        <v>35</v>
      </c>
      <c r="L83" s="162"/>
      <c r="M83" s="2" t="s">
        <v>303</v>
      </c>
      <c r="N83" s="14"/>
    </row>
    <row r="84" spans="1:14" ht="15.95" customHeight="1" x14ac:dyDescent="0.35">
      <c r="A84" s="14"/>
      <c r="B84" s="165" t="str">
        <f>F84</f>
        <v>Photovoltaik-Anlage</v>
      </c>
      <c r="C84" s="165"/>
      <c r="D84" s="165"/>
      <c r="E84" s="165"/>
      <c r="F84" s="29" t="s">
        <v>152</v>
      </c>
      <c r="G84" s="30" t="s">
        <v>153</v>
      </c>
      <c r="H84" s="30" t="s">
        <v>99</v>
      </c>
      <c r="I84" s="30" t="s">
        <v>99</v>
      </c>
      <c r="J84" s="30" t="s">
        <v>99</v>
      </c>
      <c r="K84" s="31" t="s">
        <v>39</v>
      </c>
      <c r="L84" s="31" t="s">
        <v>40</v>
      </c>
      <c r="M84" s="31" t="s">
        <v>41</v>
      </c>
      <c r="N84" s="14"/>
    </row>
    <row r="85" spans="1:14" ht="15.95" customHeight="1" x14ac:dyDescent="0.35">
      <c r="A85" s="14"/>
      <c r="B85" s="32" t="s">
        <v>154</v>
      </c>
      <c r="C85" s="67">
        <v>10</v>
      </c>
      <c r="D85" s="34" t="s">
        <v>155</v>
      </c>
      <c r="E85" s="46"/>
      <c r="F85" s="73" t="s">
        <v>326</v>
      </c>
      <c r="G85" s="37">
        <f>H85/C85</f>
        <v>2110</v>
      </c>
      <c r="H85" s="37">
        <f>ROUND( (1+C17) * ((Daten!B129*C85^(Daten!C129)) * C85  * (1/1.05)*(1/1.71)*(C15/100) * 1.19), -2 )</f>
        <v>21100</v>
      </c>
      <c r="I85" s="37">
        <v>0</v>
      </c>
      <c r="J85" s="37">
        <f>H85</f>
        <v>21100</v>
      </c>
      <c r="K85" s="145" t="s">
        <v>332</v>
      </c>
      <c r="L85" s="138" t="s">
        <v>331</v>
      </c>
      <c r="M85" s="47">
        <v>20</v>
      </c>
      <c r="N85" s="14"/>
    </row>
    <row r="86" spans="1:14" ht="15.95" customHeight="1" x14ac:dyDescent="0.25">
      <c r="A86" s="14"/>
      <c r="B86" s="39"/>
      <c r="C86" s="141"/>
      <c r="D86" s="123"/>
      <c r="E86" s="41"/>
      <c r="F86" s="73"/>
      <c r="G86" s="30" t="s">
        <v>334</v>
      </c>
      <c r="H86" s="30" t="s">
        <v>99</v>
      </c>
      <c r="I86" s="30" t="s">
        <v>99</v>
      </c>
      <c r="J86" s="30" t="s">
        <v>99</v>
      </c>
      <c r="K86" s="160"/>
      <c r="L86" s="160"/>
      <c r="M86" s="47"/>
      <c r="N86" s="14"/>
    </row>
    <row r="87" spans="1:14" ht="15.95" customHeight="1" x14ac:dyDescent="0.25">
      <c r="A87" s="14"/>
      <c r="B87" s="146" t="s">
        <v>330</v>
      </c>
      <c r="C87" s="147">
        <v>5</v>
      </c>
      <c r="D87" s="43" t="s">
        <v>327</v>
      </c>
      <c r="E87" s="44"/>
      <c r="F87" s="73" t="s">
        <v>328</v>
      </c>
      <c r="G87" s="37">
        <f>H87/C87</f>
        <v>1180</v>
      </c>
      <c r="H87" s="37">
        <f>ROUND( (1+C17) * ((Daten!B130*C87^(Daten!C130)) * C87 * (1/1.05) * (1/1.71)*(Eingabe!C15/100) * 1.19), -2 )</f>
        <v>5900</v>
      </c>
      <c r="I87" s="37">
        <v>0</v>
      </c>
      <c r="J87" s="37">
        <f>H87</f>
        <v>5900</v>
      </c>
      <c r="K87" s="145" t="s">
        <v>332</v>
      </c>
      <c r="L87" s="138" t="s">
        <v>327</v>
      </c>
      <c r="M87" s="47">
        <v>20</v>
      </c>
      <c r="N87" s="14"/>
    </row>
    <row r="88" spans="1:14" ht="15.95" customHeight="1" x14ac:dyDescent="0.25">
      <c r="A88" s="14"/>
      <c r="B88" s="14"/>
      <c r="C88" s="14"/>
      <c r="D88" s="14"/>
      <c r="E88" s="14"/>
      <c r="F88" s="49"/>
      <c r="G88" s="49"/>
      <c r="H88" s="49"/>
      <c r="I88" s="49"/>
      <c r="J88" s="49"/>
      <c r="K88" s="49"/>
      <c r="L88" s="49"/>
      <c r="M88" s="49"/>
      <c r="N88" s="14"/>
    </row>
    <row r="89" spans="1:14" ht="45" x14ac:dyDescent="0.25">
      <c r="A89" s="14"/>
      <c r="B89" s="161" t="s">
        <v>30</v>
      </c>
      <c r="C89" s="161"/>
      <c r="D89" s="161"/>
      <c r="E89" s="161"/>
      <c r="F89" s="28" t="s">
        <v>31</v>
      </c>
      <c r="G89" s="162" t="s">
        <v>32</v>
      </c>
      <c r="H89" s="162"/>
      <c r="I89" s="2" t="s">
        <v>33</v>
      </c>
      <c r="J89" s="2" t="s">
        <v>34</v>
      </c>
      <c r="K89" s="162" t="s">
        <v>35</v>
      </c>
      <c r="L89" s="162"/>
      <c r="M89" s="2" t="s">
        <v>303</v>
      </c>
      <c r="N89" s="14"/>
    </row>
    <row r="90" spans="1:14" ht="15.95" customHeight="1" x14ac:dyDescent="0.25">
      <c r="A90" s="14"/>
      <c r="B90" s="163" t="str">
        <f>F90</f>
        <v>weitere technische Gebäudeausrüstung</v>
      </c>
      <c r="C90" s="163"/>
      <c r="D90" s="163"/>
      <c r="E90" s="163"/>
      <c r="F90" s="29" t="s">
        <v>156</v>
      </c>
      <c r="G90" s="30" t="s">
        <v>98</v>
      </c>
      <c r="H90" s="30" t="s">
        <v>157</v>
      </c>
      <c r="I90" s="30" t="s">
        <v>158</v>
      </c>
      <c r="J90" s="30" t="s">
        <v>158</v>
      </c>
      <c r="K90" s="31" t="s">
        <v>39</v>
      </c>
      <c r="L90" s="31" t="s">
        <v>40</v>
      </c>
      <c r="M90" s="31" t="s">
        <v>41</v>
      </c>
      <c r="N90" s="14"/>
    </row>
    <row r="91" spans="1:14" ht="15.95" customHeight="1" x14ac:dyDescent="0.25">
      <c r="A91" s="14"/>
      <c r="B91" s="45"/>
      <c r="C91" s="34"/>
      <c r="D91" s="34"/>
      <c r="E91" s="46"/>
      <c r="F91" s="16" t="s">
        <v>159</v>
      </c>
      <c r="G91" s="37">
        <f>ROUND((H91/$C$3),0)</f>
        <v>93</v>
      </c>
      <c r="H91" s="37">
        <f>ROUND((1+C17)*(((Daten!D133*$C$3^Daten!E133)*$C$3)*$C$15/100),-2)</f>
        <v>13900</v>
      </c>
      <c r="I91" s="37">
        <f t="shared" ref="I91:I96" si="6">H91-J91</f>
        <v>13900</v>
      </c>
      <c r="J91" s="37">
        <v>0</v>
      </c>
      <c r="K91" s="1" t="s">
        <v>107</v>
      </c>
      <c r="L91" s="38" t="s">
        <v>101</v>
      </c>
      <c r="M91" s="47">
        <v>50</v>
      </c>
      <c r="N91" s="14"/>
    </row>
    <row r="92" spans="1:14" ht="15.95" customHeight="1" x14ac:dyDescent="0.25">
      <c r="A92" s="14"/>
      <c r="B92" s="57"/>
      <c r="C92" s="6"/>
      <c r="D92" s="6"/>
      <c r="E92" s="41"/>
      <c r="F92" s="129" t="s">
        <v>315</v>
      </c>
      <c r="G92" s="37">
        <f>ROUND((H92/$C$3),0)</f>
        <v>136</v>
      </c>
      <c r="H92" s="37">
        <f>ROUND((1+$C$17)*(Daten!B147*(Daten!D147/100)*$C$3)*$C$15/100,-2)</f>
        <v>20400</v>
      </c>
      <c r="I92" s="37">
        <f>I91</f>
        <v>13900</v>
      </c>
      <c r="J92" s="37">
        <f>H92-I92</f>
        <v>6500</v>
      </c>
      <c r="K92" s="160" t="s">
        <v>56</v>
      </c>
      <c r="L92" s="160"/>
      <c r="M92" s="47">
        <v>50</v>
      </c>
      <c r="N92" s="14"/>
    </row>
    <row r="93" spans="1:14" ht="15.95" customHeight="1" x14ac:dyDescent="0.25">
      <c r="A93" s="14"/>
      <c r="B93" s="57"/>
      <c r="C93" s="6"/>
      <c r="D93" s="6"/>
      <c r="E93" s="41"/>
      <c r="F93" s="16" t="s">
        <v>160</v>
      </c>
      <c r="G93" s="37">
        <f>ROUND((H93/$C$3),0)</f>
        <v>28</v>
      </c>
      <c r="H93" s="37">
        <f>ROUND((1+C17)*(((Daten!D134*$C$3^Daten!E134)*$C$3)*$C$15/100),-2)</f>
        <v>4200</v>
      </c>
      <c r="I93" s="37">
        <f t="shared" si="6"/>
        <v>4200</v>
      </c>
      <c r="J93" s="37">
        <v>0</v>
      </c>
      <c r="K93" s="1" t="s">
        <v>161</v>
      </c>
      <c r="L93" s="38" t="s">
        <v>101</v>
      </c>
      <c r="M93" s="47">
        <v>50</v>
      </c>
      <c r="N93" s="14"/>
    </row>
    <row r="94" spans="1:14" ht="15.95" customHeight="1" x14ac:dyDescent="0.25">
      <c r="A94" s="14"/>
      <c r="B94" s="57"/>
      <c r="C94" s="6"/>
      <c r="D94" s="6"/>
      <c r="E94" s="41"/>
      <c r="F94" s="16" t="s">
        <v>162</v>
      </c>
      <c r="G94" s="37">
        <f>ROUND((H94/$C$3),0)</f>
        <v>51</v>
      </c>
      <c r="H94" s="37">
        <f>ROUND((1+C17)*(((Daten!D135*$C$3^Daten!E135)*$C$3)*$C$15/100),-2)</f>
        <v>7700</v>
      </c>
      <c r="I94" s="37">
        <f t="shared" si="6"/>
        <v>7700</v>
      </c>
      <c r="J94" s="37">
        <v>0</v>
      </c>
      <c r="K94" s="1" t="s">
        <v>107</v>
      </c>
      <c r="L94" s="38" t="s">
        <v>101</v>
      </c>
      <c r="M94" s="47">
        <v>50</v>
      </c>
      <c r="N94" s="14"/>
    </row>
    <row r="95" spans="1:14" ht="15.95" customHeight="1" x14ac:dyDescent="0.25">
      <c r="A95" s="14"/>
      <c r="B95" s="57" t="s">
        <v>163</v>
      </c>
      <c r="C95" s="60">
        <v>10</v>
      </c>
      <c r="D95" s="6" t="s">
        <v>110</v>
      </c>
      <c r="E95" s="41"/>
      <c r="F95" s="16" t="s">
        <v>164</v>
      </c>
      <c r="G95" s="37">
        <f>ROUND((H95/$C$3),0)</f>
        <v>19</v>
      </c>
      <c r="H95" s="37">
        <f>ROUND((1+C17)*(Daten!D144+Daten!E144*C95)*$C$15/100,-2)</f>
        <v>2800</v>
      </c>
      <c r="I95" s="37">
        <f t="shared" si="6"/>
        <v>2800</v>
      </c>
      <c r="J95" s="37">
        <v>0</v>
      </c>
      <c r="K95" s="160" t="s">
        <v>56</v>
      </c>
      <c r="L95" s="160"/>
      <c r="M95" s="132" t="s">
        <v>54</v>
      </c>
      <c r="N95" s="14"/>
    </row>
    <row r="96" spans="1:14" ht="15.95" customHeight="1" x14ac:dyDescent="0.25">
      <c r="A96" s="14"/>
      <c r="B96" s="57"/>
      <c r="C96" s="6"/>
      <c r="D96" s="6"/>
      <c r="E96" s="41"/>
      <c r="F96" s="16" t="s">
        <v>318</v>
      </c>
      <c r="G96" s="37">
        <f>ROUND((H96/$C$3)*C$4,0)</f>
        <v>85</v>
      </c>
      <c r="H96" s="37">
        <f>ROUND((1+C17)*(Daten!B148*Daten!D148*C95)*$C$15/100,-2)</f>
        <v>12800</v>
      </c>
      <c r="I96" s="37">
        <f t="shared" si="6"/>
        <v>12800</v>
      </c>
      <c r="J96" s="37">
        <v>0</v>
      </c>
      <c r="K96" s="160" t="s">
        <v>56</v>
      </c>
      <c r="L96" s="160"/>
      <c r="M96" s="127">
        <v>50</v>
      </c>
      <c r="N96" s="14"/>
    </row>
    <row r="97" spans="1:14" ht="15.95" customHeight="1" x14ac:dyDescent="0.25">
      <c r="A97" s="14"/>
      <c r="B97" s="57"/>
      <c r="C97" s="6"/>
      <c r="D97" s="6"/>
      <c r="E97" s="41"/>
      <c r="F97" s="16"/>
      <c r="G97" s="30" t="s">
        <v>98</v>
      </c>
      <c r="H97" s="30" t="s">
        <v>165</v>
      </c>
      <c r="I97" s="30" t="s">
        <v>165</v>
      </c>
      <c r="J97" s="30" t="s">
        <v>165</v>
      </c>
      <c r="K97" s="160"/>
      <c r="L97" s="160"/>
      <c r="M97" s="47"/>
      <c r="N97" s="14"/>
    </row>
    <row r="98" spans="1:14" ht="15.95" customHeight="1" x14ac:dyDescent="0.25">
      <c r="A98" s="14"/>
      <c r="B98" s="57"/>
      <c r="C98" s="6"/>
      <c r="D98" s="6"/>
      <c r="E98" s="41"/>
      <c r="F98" s="16" t="s">
        <v>166</v>
      </c>
      <c r="G98" s="37">
        <f>ROUND((H98/$C$3)*C$4,0)</f>
        <v>90</v>
      </c>
      <c r="H98" s="37">
        <f>ROUND((1+C$17)*(((Daten!K139+Daten!L139+Daten!M139))*$C$15/100)/1.252,-2)</f>
        <v>13500</v>
      </c>
      <c r="I98" s="37">
        <f>H$100 * IF($C$7&lt;=M98,(C7/M98),1)</f>
        <v>2100</v>
      </c>
      <c r="J98" s="37">
        <f>H98-I98</f>
        <v>11400</v>
      </c>
      <c r="K98" s="160" t="s">
        <v>56</v>
      </c>
      <c r="L98" s="160"/>
      <c r="M98" s="4">
        <v>20</v>
      </c>
      <c r="N98" s="14"/>
    </row>
    <row r="99" spans="1:14" ht="15.95" customHeight="1" x14ac:dyDescent="0.25">
      <c r="A99" s="14"/>
      <c r="B99" s="57" t="s">
        <v>167</v>
      </c>
      <c r="C99" s="60">
        <v>5</v>
      </c>
      <c r="D99" s="6" t="s">
        <v>168</v>
      </c>
      <c r="E99" s="41"/>
      <c r="F99" s="16" t="s">
        <v>169</v>
      </c>
      <c r="G99" s="37">
        <f>ROUND((H99/$C$3)*C$4,0)</f>
        <v>85</v>
      </c>
      <c r="H99" s="37">
        <f>ROUND((1+C$17)*(((Daten!K140+Daten!L140+Daten!M140)*C99)*$C$15/100)/1.252,-2)</f>
        <v>12700</v>
      </c>
      <c r="I99" s="37">
        <f>H$100 * IF($C$7&lt;=M99,(C7/M99),1)</f>
        <v>2100</v>
      </c>
      <c r="J99" s="37">
        <f>H99-I99</f>
        <v>10600</v>
      </c>
      <c r="K99" s="160" t="s">
        <v>56</v>
      </c>
      <c r="L99" s="160"/>
      <c r="M99" s="4">
        <v>20</v>
      </c>
      <c r="N99" s="14"/>
    </row>
    <row r="100" spans="1:14" ht="15.95" customHeight="1" x14ac:dyDescent="0.25">
      <c r="A100" s="14"/>
      <c r="B100" s="57"/>
      <c r="C100" s="74"/>
      <c r="D100" s="6"/>
      <c r="E100" s="41"/>
      <c r="F100" s="16" t="s">
        <v>170</v>
      </c>
      <c r="G100" s="37">
        <f>ROUND((H100/$C$3)*C$4,0)</f>
        <v>14</v>
      </c>
      <c r="H100" s="37">
        <f>ROUND((1+C$17)*(((Daten!K141+Daten!L141+Daten!M141))*$C$15/100)/1.252,-2)</f>
        <v>2100</v>
      </c>
      <c r="I100" s="37">
        <f>H$100 * IF($C$7&lt;=M100,(C7/M100),1)</f>
        <v>2100</v>
      </c>
      <c r="J100" s="37">
        <f>H100-I100</f>
        <v>0</v>
      </c>
      <c r="K100" s="160" t="s">
        <v>56</v>
      </c>
      <c r="L100" s="160"/>
      <c r="M100" s="4">
        <v>20</v>
      </c>
      <c r="N100" s="14"/>
    </row>
    <row r="101" spans="1:14" ht="15.95" customHeight="1" x14ac:dyDescent="0.25">
      <c r="A101" s="14"/>
      <c r="B101" s="42"/>
      <c r="C101" s="43"/>
      <c r="D101" s="43"/>
      <c r="E101" s="44"/>
      <c r="F101" s="137" t="s">
        <v>311</v>
      </c>
      <c r="G101" s="37">
        <f>ROUND((H101/$C$3)*C$4,0)</f>
        <v>121</v>
      </c>
      <c r="H101" s="37">
        <f>ROUND((1+C$17)*(((Daten!K142+Daten!L142+Daten!M142))*$C$15/100)/1.252,-2)</f>
        <v>18200</v>
      </c>
      <c r="I101" s="37">
        <f>H$100 * IF($C$7&lt;=M101,(C7/M101),1)</f>
        <v>2100</v>
      </c>
      <c r="J101" s="37">
        <f>H101-I101</f>
        <v>16100</v>
      </c>
      <c r="K101" s="160" t="s">
        <v>56</v>
      </c>
      <c r="L101" s="160"/>
      <c r="M101" s="4">
        <v>20</v>
      </c>
      <c r="N101" s="14"/>
    </row>
    <row r="102" spans="1:14" ht="15.95" customHeight="1" x14ac:dyDescent="0.25">
      <c r="A102" s="14"/>
      <c r="B102" s="14"/>
      <c r="C102" s="14"/>
      <c r="D102" s="14"/>
      <c r="E102" s="14"/>
      <c r="F102" s="164"/>
      <c r="G102" s="164"/>
      <c r="H102" s="164"/>
      <c r="I102" s="164"/>
      <c r="J102" s="164"/>
      <c r="K102" s="164"/>
      <c r="L102" s="164"/>
      <c r="M102" s="164"/>
      <c r="N102" s="14"/>
    </row>
    <row r="103" spans="1:14" ht="45" x14ac:dyDescent="0.25">
      <c r="A103" s="14"/>
      <c r="B103" s="161" t="s">
        <v>30</v>
      </c>
      <c r="C103" s="161"/>
      <c r="D103" s="161"/>
      <c r="E103" s="161"/>
      <c r="F103" s="28" t="s">
        <v>31</v>
      </c>
      <c r="G103" s="162" t="s">
        <v>32</v>
      </c>
      <c r="H103" s="162"/>
      <c r="I103" s="2" t="s">
        <v>33</v>
      </c>
      <c r="J103" s="2" t="s">
        <v>34</v>
      </c>
      <c r="K103" s="162" t="s">
        <v>35</v>
      </c>
      <c r="L103" s="162"/>
      <c r="M103" s="2" t="s">
        <v>303</v>
      </c>
      <c r="N103" s="14"/>
    </row>
    <row r="104" spans="1:14" ht="15.95" customHeight="1" x14ac:dyDescent="0.25">
      <c r="A104" s="14"/>
      <c r="B104" s="163" t="str">
        <f>F104</f>
        <v>sonstige Bauleistungen</v>
      </c>
      <c r="C104" s="163"/>
      <c r="D104" s="163"/>
      <c r="E104" s="163"/>
      <c r="F104" s="29" t="s">
        <v>171</v>
      </c>
      <c r="G104" s="30" t="s">
        <v>98</v>
      </c>
      <c r="H104" s="30" t="s">
        <v>172</v>
      </c>
      <c r="I104" s="30" t="s">
        <v>172</v>
      </c>
      <c r="J104" s="30" t="s">
        <v>172</v>
      </c>
      <c r="K104" s="31" t="s">
        <v>39</v>
      </c>
      <c r="L104" s="31" t="s">
        <v>40</v>
      </c>
      <c r="M104" s="31" t="s">
        <v>41</v>
      </c>
      <c r="N104" s="14"/>
    </row>
    <row r="105" spans="1:14" ht="15.95" customHeight="1" x14ac:dyDescent="0.25">
      <c r="A105" s="14"/>
      <c r="B105" s="45"/>
      <c r="C105" s="34"/>
      <c r="D105" s="34"/>
      <c r="E105" s="46"/>
      <c r="F105" s="16" t="s">
        <v>173</v>
      </c>
      <c r="G105" s="37">
        <f>ROUND((H105/$C$3),0)</f>
        <v>30</v>
      </c>
      <c r="H105" s="37">
        <f>ROUND((1+C17)*(((Daten!D151*$C$3^Daten!E151)*$C$3)*$C$15/100),-2)</f>
        <v>4500</v>
      </c>
      <c r="I105" s="37">
        <f t="shared" ref="I105:I108" si="7">H105-J105</f>
        <v>4500</v>
      </c>
      <c r="J105" s="37">
        <v>0</v>
      </c>
      <c r="K105" s="1" t="s">
        <v>174</v>
      </c>
      <c r="L105" s="38" t="s">
        <v>101</v>
      </c>
      <c r="M105" s="38" t="s">
        <v>54</v>
      </c>
      <c r="N105" s="14"/>
    </row>
    <row r="106" spans="1:14" ht="15.95" customHeight="1" x14ac:dyDescent="0.25">
      <c r="A106" s="14"/>
      <c r="B106" s="57"/>
      <c r="C106" s="123"/>
      <c r="D106" s="123"/>
      <c r="E106" s="41"/>
      <c r="F106" s="16" t="s">
        <v>175</v>
      </c>
      <c r="G106" s="37">
        <f>ROUND((H106/$C$3),0)</f>
        <v>15</v>
      </c>
      <c r="H106" s="37">
        <f>ROUND(IF(OR(C4=1,C4=2),Daten!B154*($C$15/100),IF(AND(C4&gt;=3,C4&lt;=8),Daten!B155*($C$15/100),"")),-2)</f>
        <v>2200</v>
      </c>
      <c r="I106" s="37">
        <f t="shared" si="7"/>
        <v>0</v>
      </c>
      <c r="J106" s="37">
        <f>H106</f>
        <v>2200</v>
      </c>
      <c r="K106" s="1" t="s">
        <v>176</v>
      </c>
      <c r="L106" s="38" t="s">
        <v>177</v>
      </c>
      <c r="M106" s="47" t="s">
        <v>54</v>
      </c>
      <c r="N106" s="14"/>
    </row>
    <row r="107" spans="1:14" ht="15.95" customHeight="1" x14ac:dyDescent="0.25">
      <c r="A107" s="14"/>
      <c r="B107" s="57"/>
      <c r="C107" s="123"/>
      <c r="D107" s="123"/>
      <c r="E107" s="41"/>
      <c r="F107" s="16" t="s">
        <v>178</v>
      </c>
      <c r="G107" s="37">
        <f>ROUND((H107/$C$3),0)</f>
        <v>19</v>
      </c>
      <c r="H107" s="37">
        <f>ROUND(IF(OR(C4=1,C4=2),(Daten!B154+Daten!B156)*($C$15/100),IF(AND(C4&gt;=3,C4&lt;=8),(Daten!B155+Daten!B156)*($C$15/100),"")),-2)</f>
        <v>2900</v>
      </c>
      <c r="I107" s="37">
        <f t="shared" si="7"/>
        <v>0</v>
      </c>
      <c r="J107" s="37">
        <f>H107</f>
        <v>2900</v>
      </c>
      <c r="K107" s="1" t="s">
        <v>179</v>
      </c>
      <c r="L107" s="38" t="s">
        <v>177</v>
      </c>
      <c r="M107" s="47" t="s">
        <v>54</v>
      </c>
      <c r="N107" s="14"/>
    </row>
    <row r="108" spans="1:14" ht="15.95" customHeight="1" x14ac:dyDescent="0.25">
      <c r="A108" s="14"/>
      <c r="B108" s="42"/>
      <c r="C108" s="43"/>
      <c r="D108" s="43"/>
      <c r="E108" s="44"/>
      <c r="F108" s="73" t="s">
        <v>180</v>
      </c>
      <c r="G108" s="37">
        <f>ROUND((H108/$C$3),0)</f>
        <v>63</v>
      </c>
      <c r="H108" s="37">
        <f>ROUND((((Daten!D158*$C$3^Daten!E158)*$C$3)*$C$15/100),-2)</f>
        <v>9400</v>
      </c>
      <c r="I108" s="37">
        <f t="shared" si="7"/>
        <v>9400</v>
      </c>
      <c r="J108" s="37">
        <v>0</v>
      </c>
      <c r="K108" s="1" t="s">
        <v>174</v>
      </c>
      <c r="L108" s="38" t="s">
        <v>101</v>
      </c>
      <c r="M108" s="47" t="s">
        <v>54</v>
      </c>
      <c r="N108" s="14"/>
    </row>
    <row r="109" spans="1:14" ht="15.95" customHeight="1" x14ac:dyDescent="0.25">
      <c r="A109" s="14"/>
      <c r="B109" s="75"/>
      <c r="C109" s="75"/>
      <c r="D109" s="75"/>
      <c r="E109" s="75"/>
      <c r="F109" s="14"/>
      <c r="G109" s="14"/>
      <c r="H109" s="14"/>
      <c r="I109" s="15"/>
      <c r="J109" s="15"/>
      <c r="K109" s="14"/>
      <c r="L109" s="14"/>
      <c r="M109" s="14"/>
      <c r="N109" s="14"/>
    </row>
    <row r="110" spans="1:14" ht="15.95" customHeight="1" x14ac:dyDescent="0.25">
      <c r="A110" s="14"/>
      <c r="B110" s="75"/>
      <c r="C110" s="75"/>
      <c r="D110" s="75"/>
      <c r="E110" s="75"/>
      <c r="F110" s="14"/>
      <c r="G110" s="14"/>
      <c r="H110" s="14"/>
      <c r="I110" s="15"/>
      <c r="J110" s="15"/>
      <c r="K110" s="14"/>
      <c r="L110" s="14"/>
      <c r="M110" s="14"/>
      <c r="N110" s="14"/>
    </row>
    <row r="114" spans="6:13" x14ac:dyDescent="0.25">
      <c r="K114" s="77"/>
      <c r="L114" s="76"/>
      <c r="M114" s="77"/>
    </row>
    <row r="115" spans="6:13" x14ac:dyDescent="0.25">
      <c r="K115" s="77"/>
      <c r="L115" s="76"/>
      <c r="M115" s="76"/>
    </row>
    <row r="118" spans="6:13" x14ac:dyDescent="0.25">
      <c r="K118" s="77"/>
      <c r="L118" s="76"/>
      <c r="M118" s="77"/>
    </row>
    <row r="119" spans="6:13" x14ac:dyDescent="0.25">
      <c r="K119" s="77"/>
      <c r="L119" s="76"/>
      <c r="M119" s="76"/>
    </row>
    <row r="124" spans="6:13" x14ac:dyDescent="0.25">
      <c r="F124" s="78"/>
      <c r="K124" s="77"/>
      <c r="L124" s="76"/>
      <c r="M124" s="77"/>
    </row>
    <row r="125" spans="6:13" x14ac:dyDescent="0.25">
      <c r="F125" s="78"/>
      <c r="K125" s="77"/>
      <c r="L125" s="76"/>
      <c r="M125" s="76"/>
    </row>
    <row r="128" spans="6:13" x14ac:dyDescent="0.25">
      <c r="K128" s="77"/>
      <c r="L128" s="76"/>
      <c r="M128" s="77"/>
    </row>
    <row r="129" spans="11:13" x14ac:dyDescent="0.25">
      <c r="K129" s="77"/>
      <c r="L129" s="76"/>
      <c r="M129" s="76"/>
    </row>
  </sheetData>
  <sheetProtection algorithmName="SHA-512" hashValue="NgN8Is++4T+Le4UuvoMmT/VO3r+onrtzr29VdiOMmK6tkrhmZuj4nXwkL9EpGpRDqzempugiyKh4B71fGM2w3w==" saltValue="OV3Qzm30gfRmTqoEtULzKg==" spinCount="100000" sheet="1" objects="1" scenarios="1"/>
  <mergeCells count="76">
    <mergeCell ref="K86:L86"/>
    <mergeCell ref="B2:E2"/>
    <mergeCell ref="G2:I2"/>
    <mergeCell ref="J2:M2"/>
    <mergeCell ref="C3:D3"/>
    <mergeCell ref="C4:D4"/>
    <mergeCell ref="C5:D5"/>
    <mergeCell ref="C6:D6"/>
    <mergeCell ref="B10:E10"/>
    <mergeCell ref="D11:E11"/>
    <mergeCell ref="D12:E12"/>
    <mergeCell ref="C7:D7"/>
    <mergeCell ref="C8:D8"/>
    <mergeCell ref="D13:E13"/>
    <mergeCell ref="D14:E14"/>
    <mergeCell ref="D15:E15"/>
    <mergeCell ref="D17:E17"/>
    <mergeCell ref="B19:E19"/>
    <mergeCell ref="G19:H19"/>
    <mergeCell ref="K19:L19"/>
    <mergeCell ref="B20:E20"/>
    <mergeCell ref="K24:L24"/>
    <mergeCell ref="K25:L25"/>
    <mergeCell ref="K26:L26"/>
    <mergeCell ref="K27:L27"/>
    <mergeCell ref="F29:M29"/>
    <mergeCell ref="B30:E30"/>
    <mergeCell ref="G30:H30"/>
    <mergeCell ref="K30:L30"/>
    <mergeCell ref="K28:L28"/>
    <mergeCell ref="B31:E31"/>
    <mergeCell ref="K37:L37"/>
    <mergeCell ref="K38:L38"/>
    <mergeCell ref="K45:L45"/>
    <mergeCell ref="K46:L46"/>
    <mergeCell ref="K47:L47"/>
    <mergeCell ref="K48:L48"/>
    <mergeCell ref="K49:L49"/>
    <mergeCell ref="K50:L50"/>
    <mergeCell ref="F51:M51"/>
    <mergeCell ref="B52:E52"/>
    <mergeCell ref="G52:H52"/>
    <mergeCell ref="K52:L52"/>
    <mergeCell ref="B53:E53"/>
    <mergeCell ref="B55:E57"/>
    <mergeCell ref="F63:M63"/>
    <mergeCell ref="B64:E64"/>
    <mergeCell ref="G64:H64"/>
    <mergeCell ref="K64:L64"/>
    <mergeCell ref="B65:E65"/>
    <mergeCell ref="B72:E72"/>
    <mergeCell ref="G72:H72"/>
    <mergeCell ref="K72:L72"/>
    <mergeCell ref="B73:E73"/>
    <mergeCell ref="F82:M82"/>
    <mergeCell ref="B83:E83"/>
    <mergeCell ref="G83:H83"/>
    <mergeCell ref="K83:L83"/>
    <mergeCell ref="B84:E84"/>
    <mergeCell ref="B89:E89"/>
    <mergeCell ref="G89:H89"/>
    <mergeCell ref="K89:L89"/>
    <mergeCell ref="B90:E90"/>
    <mergeCell ref="K95:L95"/>
    <mergeCell ref="K92:L92"/>
    <mergeCell ref="B104:E104"/>
    <mergeCell ref="K98:L98"/>
    <mergeCell ref="K99:L99"/>
    <mergeCell ref="K100:L100"/>
    <mergeCell ref="K101:L101"/>
    <mergeCell ref="F102:M102"/>
    <mergeCell ref="K96:L96"/>
    <mergeCell ref="K97:L97"/>
    <mergeCell ref="B103:E103"/>
    <mergeCell ref="G103:H103"/>
    <mergeCell ref="K103:L103"/>
  </mergeCells>
  <conditionalFormatting sqref="G21:K21">
    <cfRule type="expression" dxfId="34" priority="70">
      <formula>OR($C$21&lt;0.8,$C$21&gt;8.5)</formula>
    </cfRule>
  </conditionalFormatting>
  <conditionalFormatting sqref="G22:K22">
    <cfRule type="expression" dxfId="33" priority="71">
      <formula>OR($C$21&lt;0.8,$C$21&gt;8.6)</formula>
    </cfRule>
  </conditionalFormatting>
  <conditionalFormatting sqref="G23:K23">
    <cfRule type="expression" dxfId="32" priority="45">
      <formula>OR($C$21&lt;0.8,$C$21&gt;8.7)</formula>
    </cfRule>
  </conditionalFormatting>
  <conditionalFormatting sqref="G32:K32">
    <cfRule type="expression" dxfId="31" priority="46">
      <formula>OR($C$33&lt;8,$C$33&gt;25)</formula>
    </cfRule>
  </conditionalFormatting>
  <conditionalFormatting sqref="G33:K33 G36:K36">
    <cfRule type="expression" dxfId="30" priority="47">
      <formula>OR($C$33&lt;4,$C$33&gt;10)</formula>
    </cfRule>
  </conditionalFormatting>
  <conditionalFormatting sqref="G34:K35">
    <cfRule type="expression" dxfId="29" priority="6">
      <formula>OR($C$33&lt;5,$C$33&gt;18)</formula>
    </cfRule>
  </conditionalFormatting>
  <conditionalFormatting sqref="G39:K40">
    <cfRule type="expression" dxfId="28" priority="49">
      <formula>OR($C$33&lt;8,$C$33&gt;30)</formula>
    </cfRule>
  </conditionalFormatting>
  <conditionalFormatting sqref="G41:K43">
    <cfRule type="expression" dxfId="27" priority="50">
      <formula>OR($C$33&lt;6,$C$33&gt;34)</formula>
    </cfRule>
  </conditionalFormatting>
  <conditionalFormatting sqref="G44:K44">
    <cfRule type="expression" dxfId="26" priority="51">
      <formula>OR($C$33&lt;9,$C$33&gt;29)</formula>
    </cfRule>
  </conditionalFormatting>
  <conditionalFormatting sqref="G54:K54">
    <cfRule type="expression" dxfId="25" priority="8">
      <formula>OR($C$3&lt;80,$C$3&gt;2000)</formula>
    </cfRule>
  </conditionalFormatting>
  <conditionalFormatting sqref="G55:K55">
    <cfRule type="expression" dxfId="24" priority="53">
      <formula>OR($C$3&lt;80,$C$3&gt;1400)</formula>
    </cfRule>
  </conditionalFormatting>
  <conditionalFormatting sqref="G56:K56">
    <cfRule type="expression" dxfId="23" priority="54">
      <formula>OR($C$3&lt;80,$C$3&gt;400)</formula>
    </cfRule>
  </conditionalFormatting>
  <conditionalFormatting sqref="G57:K57">
    <cfRule type="expression" dxfId="22" priority="9">
      <formula>OR($C$3&lt;80,$C$3&gt;2500)</formula>
    </cfRule>
  </conditionalFormatting>
  <conditionalFormatting sqref="G58:K59">
    <cfRule type="expression" dxfId="21" priority="4">
      <formula>OR($E$58&lt;0.4,$E$58&gt;3)</formula>
    </cfRule>
  </conditionalFormatting>
  <conditionalFormatting sqref="G60:K60 G62:K62">
    <cfRule type="expression" dxfId="20" priority="16">
      <formula>OR($C$5&lt;5,$C$5&gt;23)</formula>
    </cfRule>
  </conditionalFormatting>
  <conditionalFormatting sqref="G61:K61">
    <cfRule type="expression" dxfId="19" priority="15">
      <formula>OR($C$5&lt;7,$C$5&gt;17)</formula>
    </cfRule>
  </conditionalFormatting>
  <conditionalFormatting sqref="G66:K66">
    <cfRule type="expression" dxfId="18" priority="72">
      <formula>OR($C$66&lt;1,$C$66&gt;19000)</formula>
    </cfRule>
  </conditionalFormatting>
  <conditionalFormatting sqref="G67:K67">
    <cfRule type="expression" dxfId="17" priority="73">
      <formula>OR($C$66&lt;10,$C$66&gt;9000)</formula>
    </cfRule>
  </conditionalFormatting>
  <conditionalFormatting sqref="G68:K68">
    <cfRule type="expression" dxfId="16" priority="74">
      <formula>OR($C$66&lt;10,$C$66&gt;4000)</formula>
    </cfRule>
  </conditionalFormatting>
  <conditionalFormatting sqref="G69:K69">
    <cfRule type="expression" dxfId="15" priority="75">
      <formula>OR($C$66&lt;1,$C$66&gt;1000)</formula>
    </cfRule>
  </conditionalFormatting>
  <conditionalFormatting sqref="G70:K70">
    <cfRule type="expression" dxfId="14" priority="76">
      <formula>OR($C$66&lt;1,$C$66&gt;100)</formula>
    </cfRule>
  </conditionalFormatting>
  <conditionalFormatting sqref="G74:K74">
    <cfRule type="expression" dxfId="13" priority="58">
      <formula>OR($C$3&lt;100,$C$3&gt;2500)</formula>
    </cfRule>
  </conditionalFormatting>
  <conditionalFormatting sqref="G75:K76">
    <cfRule type="expression" dxfId="12" priority="20">
      <formula>OR($C$3&lt;100,$C$3&gt;2300)</formula>
    </cfRule>
  </conditionalFormatting>
  <conditionalFormatting sqref="G77:K77">
    <cfRule type="expression" dxfId="11" priority="60">
      <formula>OR($C$3&lt;130,$C$3&gt;400)</formula>
    </cfRule>
  </conditionalFormatting>
  <conditionalFormatting sqref="G78:K78">
    <cfRule type="expression" dxfId="10" priority="61">
      <formula>OR($C$3&lt;100,$C$3&gt;800)</formula>
    </cfRule>
  </conditionalFormatting>
  <conditionalFormatting sqref="G79:K80">
    <cfRule type="expression" dxfId="9" priority="18">
      <formula>OR($C$3&lt;100,$C$3&gt;1900)</formula>
    </cfRule>
  </conditionalFormatting>
  <conditionalFormatting sqref="G81:K81">
    <cfRule type="expression" dxfId="8" priority="63">
      <formula>OR($C$3&lt;100,$C$3&gt;400)</formula>
    </cfRule>
  </conditionalFormatting>
  <conditionalFormatting sqref="G85:K85">
    <cfRule type="expression" dxfId="7" priority="2">
      <formula>OR($C$85&lt;3,$C$85&gt;40)</formula>
    </cfRule>
  </conditionalFormatting>
  <conditionalFormatting sqref="G87:K87">
    <cfRule type="expression" dxfId="6" priority="1">
      <formula>OR($C$87&lt;3,$C$87&gt;40)</formula>
    </cfRule>
  </conditionalFormatting>
  <conditionalFormatting sqref="G91:K91 G94:K94">
    <cfRule type="expression" dxfId="5" priority="64">
      <formula>OR($C$3&lt;80,$C$3&gt;2500)</formula>
    </cfRule>
  </conditionalFormatting>
  <conditionalFormatting sqref="G93:K93">
    <cfRule type="expression" dxfId="4" priority="65">
      <formula>OR($C$3&lt;80,$C$3&gt;1800)</formula>
    </cfRule>
  </conditionalFormatting>
  <conditionalFormatting sqref="G105:K105">
    <cfRule type="expression" dxfId="3" priority="69">
      <formula>OR($C$3&lt;50,$C$3&gt;2500)</formula>
    </cfRule>
  </conditionalFormatting>
  <conditionalFormatting sqref="G106:K106">
    <cfRule type="expression" dxfId="2" priority="78">
      <formula>OR($C$4&lt;1,$C$4&gt;8)</formula>
    </cfRule>
  </conditionalFormatting>
  <conditionalFormatting sqref="G107:K107">
    <cfRule type="expression" dxfId="1" priority="79">
      <formula>OR($C$4&lt;3,$C$4&gt;8)</formula>
    </cfRule>
  </conditionalFormatting>
  <conditionalFormatting sqref="G108:K108">
    <cfRule type="expression" dxfId="0" priority="77">
      <formula>OR($C$3&lt;50,$C$3&gt;2500)</formula>
    </cfRule>
  </conditionalFormatting>
  <dataValidations count="5">
    <dataValidation type="decimal" allowBlank="1" showInputMessage="1" showErrorMessage="1" sqref="C66" xr:uid="{D1923B29-8CB1-48B4-9B4E-B3443207735C}">
      <formula1>1</formula1>
      <formula2>19000</formula2>
    </dataValidation>
    <dataValidation type="decimal" operator="greaterThan" allowBlank="1" showInputMessage="1" showErrorMessage="1" sqref="C26 C32:C33 C45 C47 C74 C78 C28 C21:C22 C3:D3 C5:D5 C85:C87" xr:uid="{E70827F1-943C-40D1-8E60-6E02E432DE5E}">
      <formula1>0</formula1>
    </dataValidation>
    <dataValidation type="decimal" allowBlank="1" showInputMessage="1" showErrorMessage="1" sqref="C34" xr:uid="{E1166D5D-951E-46DA-84D2-4D4F2BE60D47}">
      <formula1>0.001</formula1>
      <formula2>0.1</formula2>
    </dataValidation>
    <dataValidation type="whole" operator="greaterThan" allowBlank="1" showInputMessage="1" showErrorMessage="1" sqref="C58 C99 C4:D4 C95" xr:uid="{ECC5B951-A216-4454-B411-26E8A4F1F5C4}">
      <formula1>0</formula1>
    </dataValidation>
    <dataValidation type="decimal" operator="greaterThanOrEqual" allowBlank="1" showInputMessage="1" showErrorMessage="1" sqref="C7:D8" xr:uid="{ABA42A7C-7A57-4644-8345-2B36C27ACB02}">
      <formula1>0</formula1>
    </dataValidation>
  </dataValidations>
  <hyperlinks>
    <hyperlink ref="D12" r:id="rId1" xr:uid="{00000000-0004-0000-0100-000000000000}"/>
    <hyperlink ref="D14" r:id="rId2" xr:uid="{00000000-0004-0000-0100-000001000000}"/>
  </hyperlinks>
  <pageMargins left="0.7" right="0.7" top="0.78749999999999998" bottom="0.78749999999999998" header="0.51180555555555496" footer="0.51180555555555496"/>
  <pageSetup paperSize="9" orientation="portrait" horizontalDpi="300" verticalDpi="300"/>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100-000000000000}">
          <x14:formula1>
            <xm:f>Daten!$A$166:$A$184</xm:f>
          </x14:formula1>
          <x14:formula2>
            <xm:f>0</xm:f>
          </x14:formula2>
          <xm:sqref>C6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209"/>
  <sheetViews>
    <sheetView zoomScaleNormal="100" workbookViewId="0">
      <selection activeCell="N185" sqref="N185"/>
    </sheetView>
  </sheetViews>
  <sheetFormatPr baseColWidth="10" defaultColWidth="10.5703125" defaultRowHeight="15" x14ac:dyDescent="0.25"/>
  <cols>
    <col min="1" max="1" width="52.7109375" style="12" customWidth="1"/>
    <col min="2" max="3" width="15.28515625" style="12" customWidth="1"/>
    <col min="4" max="5" width="10.5703125" style="12"/>
    <col min="6" max="40" width="11.140625" style="12" customWidth="1"/>
    <col min="41" max="1024" width="10.5703125" style="12"/>
  </cols>
  <sheetData>
    <row r="1" spans="1:20" ht="15" customHeight="1" x14ac:dyDescent="0.25">
      <c r="A1" s="173" t="s">
        <v>181</v>
      </c>
      <c r="B1" s="173"/>
      <c r="C1" s="173"/>
      <c r="D1" s="173"/>
      <c r="E1" s="173"/>
      <c r="F1" s="173"/>
      <c r="G1" s="173"/>
      <c r="H1" s="173"/>
      <c r="I1" s="173"/>
      <c r="J1" s="173"/>
      <c r="K1" s="173"/>
      <c r="L1" s="173"/>
      <c r="M1" s="173"/>
      <c r="N1" s="173"/>
      <c r="O1" s="173"/>
      <c r="P1" s="173"/>
      <c r="Q1" s="173"/>
      <c r="R1" s="173"/>
      <c r="S1" s="173"/>
      <c r="T1" s="173"/>
    </row>
    <row r="2" spans="1:20" ht="15" customHeight="1" x14ac:dyDescent="0.25">
      <c r="A2" t="s">
        <v>182</v>
      </c>
      <c r="B2" s="77"/>
      <c r="C2" s="77"/>
      <c r="D2" s="77"/>
      <c r="E2" s="77"/>
      <c r="F2" s="77"/>
      <c r="G2" s="77"/>
      <c r="H2" s="77"/>
      <c r="I2" s="77"/>
      <c r="J2"/>
    </row>
    <row r="3" spans="1:20" ht="12.75" customHeight="1" x14ac:dyDescent="0.25">
      <c r="A3"/>
      <c r="B3" s="77"/>
      <c r="C3" s="77"/>
      <c r="D3" s="77"/>
      <c r="E3" s="77"/>
      <c r="F3" s="77"/>
      <c r="G3" s="77"/>
      <c r="H3" s="77"/>
      <c r="I3" s="77"/>
      <c r="J3"/>
    </row>
    <row r="4" spans="1:20" ht="15" customHeight="1" x14ac:dyDescent="0.25">
      <c r="A4"/>
      <c r="B4" s="188" t="s">
        <v>183</v>
      </c>
      <c r="C4" s="188"/>
      <c r="D4" s="188" t="s">
        <v>183</v>
      </c>
      <c r="E4" s="188"/>
      <c r="F4" s="188" t="s">
        <v>184</v>
      </c>
      <c r="G4" s="188"/>
      <c r="H4" s="188" t="s">
        <v>185</v>
      </c>
      <c r="I4" s="188"/>
      <c r="J4"/>
    </row>
    <row r="5" spans="1:20" ht="15" customHeight="1" x14ac:dyDescent="0.25">
      <c r="A5"/>
      <c r="B5" s="22" t="s">
        <v>186</v>
      </c>
      <c r="C5" s="22" t="s">
        <v>187</v>
      </c>
      <c r="D5" s="22" t="s">
        <v>186</v>
      </c>
      <c r="E5" s="22" t="s">
        <v>187</v>
      </c>
      <c r="F5" s="22" t="s">
        <v>186</v>
      </c>
      <c r="G5" s="22" t="s">
        <v>187</v>
      </c>
      <c r="H5" s="22" t="s">
        <v>186</v>
      </c>
      <c r="I5" s="22" t="s">
        <v>187</v>
      </c>
      <c r="J5" s="79"/>
    </row>
    <row r="6" spans="1:20" ht="15" customHeight="1" x14ac:dyDescent="0.25">
      <c r="A6"/>
      <c r="B6" s="22" t="s">
        <v>188</v>
      </c>
      <c r="C6" s="22" t="s">
        <v>189</v>
      </c>
      <c r="D6" s="22" t="s">
        <v>189</v>
      </c>
      <c r="E6" s="22" t="s">
        <v>190</v>
      </c>
      <c r="F6" s="22"/>
      <c r="G6" s="22"/>
      <c r="H6" s="22"/>
      <c r="I6" s="22"/>
      <c r="J6"/>
    </row>
    <row r="7" spans="1:20" ht="15" customHeight="1" x14ac:dyDescent="0.25">
      <c r="A7"/>
      <c r="B7" s="188" t="s">
        <v>191</v>
      </c>
      <c r="C7" s="188"/>
      <c r="D7" s="188" t="s">
        <v>192</v>
      </c>
      <c r="E7" s="188"/>
      <c r="F7" s="188" t="s">
        <v>191</v>
      </c>
      <c r="G7" s="188"/>
      <c r="H7" s="188" t="s">
        <v>192</v>
      </c>
      <c r="I7" s="188"/>
      <c r="J7"/>
    </row>
    <row r="8" spans="1:20" ht="15" customHeight="1" x14ac:dyDescent="0.25">
      <c r="A8"/>
      <c r="B8" s="80"/>
      <c r="C8" s="80"/>
      <c r="D8" s="80"/>
      <c r="E8" s="80"/>
      <c r="F8" s="80"/>
      <c r="G8" s="80"/>
      <c r="H8" s="80"/>
      <c r="I8" s="80"/>
      <c r="J8"/>
    </row>
    <row r="9" spans="1:20" ht="15" customHeight="1" x14ac:dyDescent="0.25">
      <c r="A9" s="81" t="s">
        <v>193</v>
      </c>
      <c r="B9" s="184" t="s">
        <v>194</v>
      </c>
      <c r="C9" s="184"/>
      <c r="D9" s="82"/>
      <c r="E9" s="82"/>
      <c r="F9" s="82"/>
      <c r="G9" s="82"/>
      <c r="H9" s="82"/>
      <c r="I9" s="82"/>
      <c r="J9"/>
    </row>
    <row r="10" spans="1:20" ht="15" customHeight="1" x14ac:dyDescent="0.25">
      <c r="A10" s="22" t="str">
        <f>Eingabe!F21</f>
        <v>3WSV, Dreh/Kipp, Passivhaus EFH&amp;MFH für F&amp;Ft</v>
      </c>
      <c r="B10" s="22" t="s">
        <v>54</v>
      </c>
      <c r="C10" s="22" t="s">
        <v>54</v>
      </c>
      <c r="D10" s="22">
        <v>658.86</v>
      </c>
      <c r="E10" s="22">
        <v>-0.25700000000000001</v>
      </c>
      <c r="F10" s="22">
        <v>613.63</v>
      </c>
      <c r="G10" s="22">
        <v>-0.25700000000000001</v>
      </c>
      <c r="H10" s="22">
        <v>707.44</v>
      </c>
      <c r="I10" s="22">
        <v>-0.25700000000000001</v>
      </c>
      <c r="J10"/>
    </row>
    <row r="11" spans="1:20" ht="15" customHeight="1" x14ac:dyDescent="0.25">
      <c r="A11" s="22" t="str">
        <f>Eingabe!F22</f>
        <v>3WSV, Dreh/Kipp, H/K konv. EFH&amp;MFH für F&amp;Ft</v>
      </c>
      <c r="B11" s="22" t="s">
        <v>54</v>
      </c>
      <c r="C11" s="22" t="s">
        <v>54</v>
      </c>
      <c r="D11" s="22">
        <v>472.33</v>
      </c>
      <c r="E11" s="22">
        <v>-0.222</v>
      </c>
      <c r="F11" s="22">
        <v>448.83</v>
      </c>
      <c r="G11" s="22">
        <v>-0.222</v>
      </c>
      <c r="H11" s="22">
        <v>497.05</v>
      </c>
      <c r="I11" s="22">
        <v>-0.222</v>
      </c>
      <c r="J11"/>
    </row>
    <row r="12" spans="1:20" ht="15" customHeight="1" x14ac:dyDescent="0.25">
      <c r="A12" s="22" t="str">
        <f>Eingabe!F23</f>
        <v>2WSV, Dreh/Kipp, H/K konv. EFH&amp;MFH für F&amp;Ft</v>
      </c>
      <c r="B12" s="22" t="s">
        <v>54</v>
      </c>
      <c r="C12" s="22" t="s">
        <v>54</v>
      </c>
      <c r="D12" s="22">
        <v>413.45</v>
      </c>
      <c r="E12" s="22">
        <v>-0.23100000000000001</v>
      </c>
      <c r="F12" s="22">
        <v>389.62</v>
      </c>
      <c r="G12" s="22">
        <v>-0.23100000000000001</v>
      </c>
      <c r="H12" s="22">
        <v>438.71</v>
      </c>
      <c r="I12" s="22">
        <v>-0.23100000000000001</v>
      </c>
      <c r="J12"/>
    </row>
    <row r="13" spans="1:20" ht="15" customHeight="1" x14ac:dyDescent="0.25">
      <c r="A13"/>
      <c r="B13"/>
      <c r="C13"/>
      <c r="D13"/>
      <c r="E13"/>
      <c r="F13"/>
      <c r="G13"/>
      <c r="H13"/>
      <c r="I13"/>
      <c r="J13"/>
    </row>
    <row r="14" spans="1:20" ht="15" customHeight="1" x14ac:dyDescent="0.25">
      <c r="A14" s="83" t="s">
        <v>195</v>
      </c>
      <c r="B14" s="184" t="s">
        <v>194</v>
      </c>
      <c r="C14" s="184"/>
      <c r="D14"/>
      <c r="E14"/>
      <c r="F14"/>
      <c r="G14"/>
      <c r="H14"/>
      <c r="I14"/>
      <c r="J14"/>
    </row>
    <row r="15" spans="1:20" ht="15" customHeight="1" x14ac:dyDescent="0.25">
      <c r="A15" s="22" t="str">
        <f>Eingabe!F24</f>
        <v>Dachflächenfenster EFH pro Fenster</v>
      </c>
      <c r="B15" s="22" t="s">
        <v>54</v>
      </c>
      <c r="C15" s="22">
        <v>1430</v>
      </c>
      <c r="D15"/>
      <c r="E15"/>
      <c r="F15"/>
      <c r="G15"/>
      <c r="H15"/>
      <c r="I15"/>
      <c r="J15"/>
    </row>
    <row r="16" spans="1:20" ht="15" customHeight="1" x14ac:dyDescent="0.25">
      <c r="A16" s="22" t="str">
        <f>Eingabe!F25</f>
        <v>Dachflächenfenster MFH pro Fenster</v>
      </c>
      <c r="B16" s="22" t="s">
        <v>54</v>
      </c>
      <c r="C16" s="22">
        <v>1435</v>
      </c>
      <c r="D16"/>
      <c r="E16"/>
      <c r="F16"/>
      <c r="G16"/>
      <c r="H16"/>
      <c r="I16"/>
      <c r="J16"/>
    </row>
    <row r="17" spans="1:21" ht="15" customHeight="1" x14ac:dyDescent="0.25">
      <c r="A17"/>
      <c r="B17"/>
      <c r="C17"/>
      <c r="D17"/>
      <c r="E17"/>
      <c r="F17"/>
      <c r="G17"/>
      <c r="H17"/>
      <c r="I17"/>
      <c r="J17"/>
    </row>
    <row r="18" spans="1:21" ht="15" customHeight="1" x14ac:dyDescent="0.25">
      <c r="A18" s="83" t="s">
        <v>196</v>
      </c>
      <c r="B18" s="184" t="s">
        <v>194</v>
      </c>
      <c r="C18" s="184"/>
      <c r="D18"/>
      <c r="E18"/>
      <c r="F18"/>
      <c r="G18"/>
      <c r="H18"/>
      <c r="I18"/>
      <c r="J18"/>
    </row>
    <row r="19" spans="1:21" ht="15" customHeight="1" x14ac:dyDescent="0.25">
      <c r="A19" s="22" t="str">
        <f>Eingabe!F26</f>
        <v>Haustür EFH</v>
      </c>
      <c r="B19" s="22" t="s">
        <v>54</v>
      </c>
      <c r="C19" s="22">
        <v>1433</v>
      </c>
      <c r="D19"/>
      <c r="E19"/>
      <c r="F19"/>
      <c r="G19"/>
      <c r="H19"/>
      <c r="I19"/>
      <c r="J19"/>
    </row>
    <row r="20" spans="1:21" ht="15" customHeight="1" x14ac:dyDescent="0.25">
      <c r="A20" s="22" t="str">
        <f>Eingabe!F27</f>
        <v>Haustür MFH</v>
      </c>
      <c r="B20" s="22" t="s">
        <v>54</v>
      </c>
      <c r="C20" s="22">
        <v>1222</v>
      </c>
      <c r="D20"/>
      <c r="E20"/>
      <c r="F20"/>
      <c r="G20"/>
      <c r="H20"/>
      <c r="I20"/>
      <c r="J20"/>
    </row>
    <row r="21" spans="1:21" ht="15" customHeight="1" x14ac:dyDescent="0.25">
      <c r="A21"/>
      <c r="B21"/>
      <c r="C21"/>
      <c r="D21" s="93" t="s">
        <v>305</v>
      </c>
      <c r="E21" s="121" t="s">
        <v>306</v>
      </c>
      <c r="F21" s="121" t="s">
        <v>307</v>
      </c>
      <c r="G21"/>
      <c r="H21"/>
      <c r="I21"/>
      <c r="J21"/>
    </row>
    <row r="22" spans="1:21" ht="15" customHeight="1" x14ac:dyDescent="0.25">
      <c r="A22" s="125" t="s">
        <v>312</v>
      </c>
      <c r="B22" s="121" t="s">
        <v>54</v>
      </c>
      <c r="C22" s="124">
        <f>D22/E22*100*F22</f>
        <v>502.57072409488137</v>
      </c>
      <c r="D22" s="122">
        <f>640+36.57</f>
        <v>676.57</v>
      </c>
      <c r="E22" s="121">
        <v>160.19999999999999</v>
      </c>
      <c r="F22" s="121">
        <v>1.19</v>
      </c>
      <c r="H22"/>
      <c r="I22"/>
      <c r="J22" s="187" t="s">
        <v>313</v>
      </c>
      <c r="K22" s="187"/>
      <c r="L22" s="187"/>
      <c r="M22" s="187"/>
      <c r="N22" s="187"/>
    </row>
    <row r="23" spans="1:21" ht="15" customHeight="1" x14ac:dyDescent="0.25">
      <c r="A23" s="126"/>
      <c r="B23"/>
      <c r="C23"/>
      <c r="D23"/>
      <c r="E23"/>
      <c r="F23"/>
      <c r="G23"/>
      <c r="H23"/>
      <c r="I23"/>
      <c r="J23"/>
    </row>
    <row r="24" spans="1:21" ht="15" customHeight="1" x14ac:dyDescent="0.25">
      <c r="A24" s="83" t="s">
        <v>61</v>
      </c>
      <c r="B24" s="184" t="s">
        <v>194</v>
      </c>
      <c r="C24" s="184"/>
      <c r="D24"/>
      <c r="E24"/>
      <c r="F24"/>
      <c r="G24"/>
      <c r="H24"/>
      <c r="I24"/>
      <c r="J24"/>
    </row>
    <row r="25" spans="1:21" ht="15" customHeight="1" x14ac:dyDescent="0.25">
      <c r="A25" s="22" t="str">
        <f>Eingabe!F32</f>
        <v>WDVS (zzgl. Gerüstkosten)</v>
      </c>
      <c r="B25" s="22">
        <v>2.81</v>
      </c>
      <c r="C25" s="22">
        <v>96.88</v>
      </c>
      <c r="D25" s="22" t="s">
        <v>54</v>
      </c>
      <c r="E25" s="22" t="s">
        <v>54</v>
      </c>
      <c r="F25" s="22">
        <v>2.81</v>
      </c>
      <c r="G25" s="22">
        <v>83.65</v>
      </c>
      <c r="H25" s="22">
        <v>2.81</v>
      </c>
      <c r="I25" s="22">
        <v>110.11</v>
      </c>
      <c r="J25"/>
    </row>
    <row r="26" spans="1:21" ht="15" customHeight="1" x14ac:dyDescent="0.25">
      <c r="A26" s="22" t="s">
        <v>197</v>
      </c>
      <c r="B26" s="22">
        <v>2.81</v>
      </c>
      <c r="C26" s="22">
        <v>19.77</v>
      </c>
      <c r="D26" s="22" t="s">
        <v>54</v>
      </c>
      <c r="E26" s="22" t="s">
        <v>54</v>
      </c>
      <c r="F26" s="22">
        <v>2.81</v>
      </c>
      <c r="G26" s="22">
        <v>13.85</v>
      </c>
      <c r="H26" s="22">
        <v>2.81</v>
      </c>
      <c r="I26" s="22">
        <v>25.84</v>
      </c>
      <c r="J26"/>
    </row>
    <row r="27" spans="1:21" ht="15" customHeight="1" x14ac:dyDescent="0.25">
      <c r="A27" s="22" t="str">
        <f>Eingabe!F33</f>
        <v>Außenwand - Kerndämmung</v>
      </c>
      <c r="B27" s="22">
        <v>1.65</v>
      </c>
      <c r="C27" s="22">
        <v>10.37</v>
      </c>
      <c r="D27" s="22" t="s">
        <v>54</v>
      </c>
      <c r="E27" s="22" t="s">
        <v>54</v>
      </c>
      <c r="F27" s="22">
        <v>1.65</v>
      </c>
      <c r="G27" s="22">
        <v>1.0900000000000001</v>
      </c>
      <c r="H27" s="22">
        <v>1.65</v>
      </c>
      <c r="I27" s="22">
        <v>19.66</v>
      </c>
      <c r="J27"/>
    </row>
    <row r="28" spans="1:21" ht="15" customHeight="1" x14ac:dyDescent="0.25">
      <c r="A28" s="22" t="str">
        <f>Eingabe!F34</f>
        <v>Keller, unterseitig, ohne Bekleidung</v>
      </c>
      <c r="B28" s="22">
        <v>1.25</v>
      </c>
      <c r="C28" s="22">
        <v>30.75</v>
      </c>
      <c r="D28" s="22" t="s">
        <v>54</v>
      </c>
      <c r="E28" s="22" t="s">
        <v>54</v>
      </c>
      <c r="F28" s="22">
        <v>1.25</v>
      </c>
      <c r="G28" s="22">
        <v>27.75</v>
      </c>
      <c r="H28" s="22">
        <v>1.25</v>
      </c>
      <c r="I28" s="22">
        <v>33.75</v>
      </c>
      <c r="J28"/>
    </row>
    <row r="29" spans="1:21" ht="15" customHeight="1" x14ac:dyDescent="0.25">
      <c r="A29" s="22" t="str">
        <f>Eingabe!F35</f>
        <v>Keller, unterseitig, mit Bekleidung</v>
      </c>
      <c r="B29" s="22">
        <v>1.55</v>
      </c>
      <c r="C29" s="22">
        <v>54.25</v>
      </c>
      <c r="D29" s="22" t="s">
        <v>54</v>
      </c>
      <c r="E29" s="22" t="s">
        <v>54</v>
      </c>
      <c r="F29" s="22">
        <v>1.55</v>
      </c>
      <c r="G29" s="22">
        <v>49.2</v>
      </c>
      <c r="H29" s="22">
        <v>1.55</v>
      </c>
      <c r="I29" s="22">
        <v>59.3</v>
      </c>
      <c r="J29"/>
    </row>
    <row r="30" spans="1:21" ht="15" customHeight="1" x14ac:dyDescent="0.25">
      <c r="A30" s="22" t="str">
        <f>Eingabe!F36</f>
        <v>Keller, oberseitig, Einblasen zwischen die Dielen</v>
      </c>
      <c r="B30" s="22">
        <v>1.62</v>
      </c>
      <c r="C30" s="22">
        <v>8.9600000000000009</v>
      </c>
      <c r="D30" s="22" t="s">
        <v>54</v>
      </c>
      <c r="E30" s="22" t="s">
        <v>54</v>
      </c>
      <c r="F30" s="22">
        <v>1.62</v>
      </c>
      <c r="G30" s="22">
        <v>-6.14</v>
      </c>
      <c r="H30" s="22">
        <v>1.62</v>
      </c>
      <c r="I30" s="22">
        <v>24.07</v>
      </c>
      <c r="J30"/>
    </row>
    <row r="31" spans="1:21" ht="15" customHeight="1" x14ac:dyDescent="0.25">
      <c r="A31" t="s">
        <v>78</v>
      </c>
      <c r="B31" s="129">
        <v>1.04</v>
      </c>
      <c r="C31" s="131">
        <f>(18+17+10)*110.6/99.2</f>
        <v>50.171370967741936</v>
      </c>
      <c r="D31" s="128" t="s">
        <v>54</v>
      </c>
      <c r="E31" s="128" t="s">
        <v>54</v>
      </c>
      <c r="F31" s="128" t="s">
        <v>54</v>
      </c>
      <c r="G31" s="128" t="s">
        <v>54</v>
      </c>
      <c r="H31" s="128" t="s">
        <v>54</v>
      </c>
      <c r="I31" s="128" t="s">
        <v>54</v>
      </c>
      <c r="J31" s="185" t="s">
        <v>314</v>
      </c>
      <c r="K31" s="186"/>
      <c r="L31" s="186"/>
      <c r="M31" s="186"/>
      <c r="N31" s="186"/>
      <c r="O31" s="186"/>
      <c r="P31" s="186"/>
      <c r="Q31" s="186"/>
      <c r="R31" s="186"/>
      <c r="S31" s="186"/>
      <c r="T31" s="186"/>
      <c r="U31" s="186"/>
    </row>
    <row r="32" spans="1:21" ht="15" customHeight="1" x14ac:dyDescent="0.25">
      <c r="A32" s="22" t="str">
        <f>Eingabe!F39</f>
        <v>oberste Geschossdecke, begehbar</v>
      </c>
      <c r="B32" s="22">
        <v>1.78</v>
      </c>
      <c r="C32" s="22">
        <v>28.03</v>
      </c>
      <c r="D32" s="22" t="s">
        <v>54</v>
      </c>
      <c r="E32" s="22" t="s">
        <v>54</v>
      </c>
      <c r="F32" s="22">
        <v>1.78</v>
      </c>
      <c r="G32" s="22">
        <v>17.39</v>
      </c>
      <c r="H32" s="22">
        <v>1.78</v>
      </c>
      <c r="I32" s="22">
        <v>38.67</v>
      </c>
      <c r="J32"/>
    </row>
    <row r="33" spans="1:10" ht="15" customHeight="1" x14ac:dyDescent="0.25">
      <c r="A33" s="22" t="str">
        <f>Eingabe!F40</f>
        <v>oberste Geschossdecke, nicht begehbar</v>
      </c>
      <c r="B33" s="22">
        <v>1.06</v>
      </c>
      <c r="C33" s="22">
        <v>3.72</v>
      </c>
      <c r="D33" s="22" t="s">
        <v>54</v>
      </c>
      <c r="E33" s="22" t="s">
        <v>54</v>
      </c>
      <c r="F33" s="22">
        <v>1.06</v>
      </c>
      <c r="G33" s="22">
        <v>2.31</v>
      </c>
      <c r="H33" s="22">
        <v>1.06</v>
      </c>
      <c r="I33" s="22">
        <v>5.13</v>
      </c>
      <c r="J33"/>
    </row>
    <row r="34" spans="1:10" ht="15" customHeight="1" x14ac:dyDescent="0.25">
      <c r="A34" s="22" t="str">
        <f>Eingabe!F41</f>
        <v>Flachdach ohne Lichtkuppeln</v>
      </c>
      <c r="B34" s="22">
        <v>4.1100000000000003</v>
      </c>
      <c r="C34" s="22">
        <v>104.14</v>
      </c>
      <c r="D34" s="22" t="s">
        <v>54</v>
      </c>
      <c r="E34" s="22" t="s">
        <v>54</v>
      </c>
      <c r="F34" s="22">
        <v>4.1100000000000003</v>
      </c>
      <c r="G34" s="22">
        <v>74.459999999999994</v>
      </c>
      <c r="H34" s="22">
        <v>4.1100000000000003</v>
      </c>
      <c r="I34" s="22">
        <v>133.82</v>
      </c>
      <c r="J34"/>
    </row>
    <row r="35" spans="1:10" ht="15" customHeight="1" x14ac:dyDescent="0.25">
      <c r="A35" s="22" t="str">
        <f>Eingabe!F42</f>
        <v>Flachdach mit Lichtkuppeln EFH</v>
      </c>
      <c r="B35" s="22">
        <v>4.1100000000000003</v>
      </c>
      <c r="C35" s="22">
        <v>118.16</v>
      </c>
      <c r="D35" s="22" t="s">
        <v>54</v>
      </c>
      <c r="E35" s="22" t="s">
        <v>54</v>
      </c>
      <c r="F35" s="22">
        <v>4.1100000000000003</v>
      </c>
      <c r="G35" s="22">
        <v>88.47</v>
      </c>
      <c r="H35" s="22">
        <v>4.1100000000000003</v>
      </c>
      <c r="I35" s="22">
        <v>147.84</v>
      </c>
      <c r="J35"/>
    </row>
    <row r="36" spans="1:10" ht="15" customHeight="1" x14ac:dyDescent="0.25">
      <c r="A36" s="22" t="str">
        <f>Eingabe!F43</f>
        <v>Flachdach mit Lichtkuppel MFH</v>
      </c>
      <c r="B36" s="22">
        <v>4.1100000000000003</v>
      </c>
      <c r="C36" s="22">
        <v>113.16</v>
      </c>
      <c r="D36" s="22" t="s">
        <v>54</v>
      </c>
      <c r="E36" s="22" t="s">
        <v>54</v>
      </c>
      <c r="F36" s="22">
        <v>4.1100000000000003</v>
      </c>
      <c r="G36" s="22">
        <v>83.48</v>
      </c>
      <c r="H36" s="22">
        <v>4.1100000000000003</v>
      </c>
      <c r="I36" s="22">
        <v>142.85</v>
      </c>
      <c r="J36"/>
    </row>
    <row r="37" spans="1:10" ht="15" customHeight="1" x14ac:dyDescent="0.25">
      <c r="A37" s="22" t="s">
        <v>198</v>
      </c>
      <c r="B37" s="22">
        <v>2.9</v>
      </c>
      <c r="C37" s="22">
        <v>21.66</v>
      </c>
      <c r="D37" s="22" t="s">
        <v>54</v>
      </c>
      <c r="E37" s="22" t="s">
        <v>54</v>
      </c>
      <c r="F37" s="22">
        <v>2.9</v>
      </c>
      <c r="G37" s="22">
        <v>7.08</v>
      </c>
      <c r="H37" s="22">
        <v>2.9</v>
      </c>
      <c r="I37" s="22">
        <v>32.89</v>
      </c>
      <c r="J37"/>
    </row>
    <row r="38" spans="1:10" ht="15" customHeight="1" x14ac:dyDescent="0.25">
      <c r="A38" s="22" t="str">
        <f>Eingabe!F44</f>
        <v>Steildach</v>
      </c>
      <c r="B38" s="22">
        <v>2.77</v>
      </c>
      <c r="C38" s="22">
        <v>151.01</v>
      </c>
      <c r="D38" s="22" t="s">
        <v>54</v>
      </c>
      <c r="E38" s="22" t="s">
        <v>54</v>
      </c>
      <c r="F38" s="22">
        <v>2.77</v>
      </c>
      <c r="G38" s="22">
        <v>123.78</v>
      </c>
      <c r="H38" s="22">
        <v>2.77</v>
      </c>
      <c r="I38" s="22">
        <v>178.25</v>
      </c>
      <c r="J38"/>
    </row>
    <row r="39" spans="1:10" ht="15" customHeight="1" x14ac:dyDescent="0.25">
      <c r="A39" s="22" t="s">
        <v>199</v>
      </c>
      <c r="B39" s="22">
        <v>2.37</v>
      </c>
      <c r="C39" s="22">
        <v>11.31</v>
      </c>
      <c r="D39" s="22" t="s">
        <v>54</v>
      </c>
      <c r="E39" s="22" t="s">
        <v>54</v>
      </c>
      <c r="F39" s="22">
        <v>2.37</v>
      </c>
      <c r="G39" s="22">
        <v>3.47</v>
      </c>
      <c r="H39" s="22">
        <v>2.37</v>
      </c>
      <c r="I39" s="22">
        <v>18.079999999999998</v>
      </c>
      <c r="J39"/>
    </row>
    <row r="40" spans="1:10" ht="15" customHeight="1" x14ac:dyDescent="0.25">
      <c r="A40" s="22" t="str">
        <f>Eingabe!F45</f>
        <v>Steildachgauben im EFH ohne Fenster</v>
      </c>
      <c r="B40" s="22" t="s">
        <v>54</v>
      </c>
      <c r="C40" s="22">
        <v>473</v>
      </c>
      <c r="D40" s="22"/>
      <c r="E40" s="22"/>
      <c r="F40" s="22"/>
      <c r="G40" s="22"/>
      <c r="H40" s="22"/>
      <c r="I40" s="22"/>
      <c r="J40"/>
    </row>
    <row r="41" spans="1:10" ht="15" customHeight="1" x14ac:dyDescent="0.25">
      <c r="A41" s="22" t="str">
        <f>Eingabe!F46</f>
        <v>Steildachgauben im MFH ohne Fenster</v>
      </c>
      <c r="B41" s="22" t="s">
        <v>54</v>
      </c>
      <c r="C41" s="22">
        <v>350</v>
      </c>
      <c r="D41" s="22"/>
      <c r="E41" s="22"/>
      <c r="F41" s="22"/>
      <c r="G41" s="22"/>
      <c r="H41" s="22"/>
      <c r="I41" s="22"/>
      <c r="J41"/>
    </row>
    <row r="42" spans="1:10" ht="15" customHeight="1" x14ac:dyDescent="0.25">
      <c r="A42" s="84" t="str">
        <f>Eingabe!F47</f>
        <v>Vorbaurollladen, Kunststoff, Gurt</v>
      </c>
      <c r="B42" s="22" t="s">
        <v>54</v>
      </c>
      <c r="C42" s="22">
        <v>141</v>
      </c>
      <c r="D42" s="22"/>
      <c r="E42" s="22"/>
      <c r="F42" s="22"/>
      <c r="G42" s="22"/>
      <c r="H42" s="22"/>
      <c r="I42" s="22"/>
      <c r="J42"/>
    </row>
    <row r="43" spans="1:10" ht="15" customHeight="1" x14ac:dyDescent="0.25">
      <c r="A43" s="84" t="str">
        <f>Eingabe!F48</f>
        <v>Vorbaurollladen, Kunststoff, Elektro</v>
      </c>
      <c r="B43" s="22" t="s">
        <v>54</v>
      </c>
      <c r="C43" s="22">
        <v>197</v>
      </c>
      <c r="D43" s="22"/>
      <c r="E43" s="22"/>
      <c r="F43" s="22"/>
      <c r="G43" s="22"/>
      <c r="H43" s="22"/>
      <c r="I43" s="22"/>
      <c r="J43"/>
    </row>
    <row r="44" spans="1:10" ht="15" customHeight="1" x14ac:dyDescent="0.25">
      <c r="A44" s="84" t="str">
        <f>Eingabe!F49</f>
        <v>Vorbaurollladen, Alu, Gurt</v>
      </c>
      <c r="B44" s="22" t="s">
        <v>54</v>
      </c>
      <c r="C44" s="22">
        <v>182</v>
      </c>
      <c r="D44" s="22"/>
      <c r="E44" s="22"/>
      <c r="F44" s="22"/>
      <c r="G44" s="22"/>
      <c r="H44" s="22"/>
      <c r="I44" s="22"/>
      <c r="J44"/>
    </row>
    <row r="45" spans="1:10" ht="15" customHeight="1" x14ac:dyDescent="0.25">
      <c r="A45" s="22" t="str">
        <f>Eingabe!F50</f>
        <v>Vorbaurollladen, Alu, Elektro</v>
      </c>
      <c r="B45" s="22" t="s">
        <v>54</v>
      </c>
      <c r="C45" s="22">
        <v>271</v>
      </c>
      <c r="D45" s="22"/>
      <c r="E45" s="22"/>
      <c r="F45" s="22"/>
      <c r="G45" s="22"/>
      <c r="H45" s="22"/>
      <c r="I45" s="22"/>
      <c r="J45"/>
    </row>
    <row r="46" spans="1:10" ht="15" customHeight="1" x14ac:dyDescent="0.25">
      <c r="A46"/>
      <c r="B46"/>
      <c r="C46"/>
      <c r="D46" s="87"/>
      <c r="E46"/>
      <c r="F46"/>
      <c r="G46"/>
      <c r="H46"/>
      <c r="I46" s="88"/>
      <c r="J46"/>
    </row>
    <row r="47" spans="1:10" ht="15" customHeight="1" x14ac:dyDescent="0.25">
      <c r="A47" s="81" t="s">
        <v>97</v>
      </c>
      <c r="B47" s="184" t="s">
        <v>200</v>
      </c>
      <c r="C47" s="184"/>
      <c r="D47" s="85"/>
      <c r="E47" s="85"/>
      <c r="F47" s="85"/>
      <c r="G47" s="85"/>
      <c r="H47" s="85"/>
      <c r="I47" s="85"/>
      <c r="J47"/>
    </row>
    <row r="48" spans="1:10" ht="15" customHeight="1" x14ac:dyDescent="0.25">
      <c r="A48" s="22" t="str">
        <f>Eingabe!F54</f>
        <v>Gaskessel als Einzelmaßnahme</v>
      </c>
      <c r="B48" s="22" t="s">
        <v>54</v>
      </c>
      <c r="C48" s="22" t="s">
        <v>54</v>
      </c>
      <c r="D48" s="86">
        <v>905.26</v>
      </c>
      <c r="E48" s="22">
        <v>-0.51800000000000002</v>
      </c>
      <c r="F48" s="22">
        <v>580.03</v>
      </c>
      <c r="G48" s="22">
        <v>-0.51800000000000002</v>
      </c>
      <c r="H48" s="86">
        <v>1412.87</v>
      </c>
      <c r="I48" s="22">
        <v>-0.51800000000000002</v>
      </c>
      <c r="J48"/>
    </row>
    <row r="49" spans="1:20" ht="15" customHeight="1" x14ac:dyDescent="0.25">
      <c r="A49" s="22" t="s">
        <v>201</v>
      </c>
      <c r="B49" s="22" t="s">
        <v>54</v>
      </c>
      <c r="C49" s="22" t="s">
        <v>54</v>
      </c>
      <c r="D49" s="86">
        <v>1202.5999999999999</v>
      </c>
      <c r="E49" s="22">
        <v>-0.53600000000000003</v>
      </c>
      <c r="F49" s="22">
        <v>598.65</v>
      </c>
      <c r="G49" s="22">
        <v>-0.53600000000000003</v>
      </c>
      <c r="H49" s="86">
        <v>2415.9699999999998</v>
      </c>
      <c r="I49" s="22">
        <v>-0.53600000000000003</v>
      </c>
      <c r="J49"/>
    </row>
    <row r="50" spans="1:20" ht="15" customHeight="1" x14ac:dyDescent="0.25">
      <c r="A50" s="22" t="s">
        <v>202</v>
      </c>
      <c r="B50" s="22" t="s">
        <v>54</v>
      </c>
      <c r="C50" s="22" t="s">
        <v>54</v>
      </c>
      <c r="D50" s="22">
        <v>887.75</v>
      </c>
      <c r="E50" s="22">
        <v>-0.50600000000000001</v>
      </c>
      <c r="F50" s="22">
        <v>602.30999999999995</v>
      </c>
      <c r="G50" s="22">
        <v>-0.50600000000000001</v>
      </c>
      <c r="H50" s="86">
        <v>1308.47</v>
      </c>
      <c r="I50" s="22">
        <v>-0.50600000000000001</v>
      </c>
      <c r="J50"/>
    </row>
    <row r="51" spans="1:20" ht="15" customHeight="1" x14ac:dyDescent="0.25">
      <c r="A51" s="22" t="str">
        <f>Eingabe!F56</f>
        <v>Pelletkessel als Einzelmaßnahme</v>
      </c>
      <c r="B51" s="22" t="s">
        <v>54</v>
      </c>
      <c r="C51" s="22" t="s">
        <v>54</v>
      </c>
      <c r="D51" s="22">
        <v>2531.4</v>
      </c>
      <c r="E51" s="22">
        <v>-0.58699999999999997</v>
      </c>
      <c r="F51" s="86">
        <v>1966.7</v>
      </c>
      <c r="G51" s="22">
        <v>-0.58699999999999997</v>
      </c>
      <c r="H51" s="86">
        <v>3258.3</v>
      </c>
      <c r="I51" s="22">
        <v>-0.58699999999999997</v>
      </c>
      <c r="J51"/>
    </row>
    <row r="52" spans="1:20" ht="15" customHeight="1" x14ac:dyDescent="0.25">
      <c r="A52" s="22" t="str">
        <f>Eingabe!F57</f>
        <v>Fernwärme als Einzelmaßnahme</v>
      </c>
      <c r="B52" s="22" t="s">
        <v>54</v>
      </c>
      <c r="C52" s="22" t="s">
        <v>54</v>
      </c>
      <c r="D52" s="86">
        <v>662.91</v>
      </c>
      <c r="E52" s="22">
        <v>-0.48699999999999999</v>
      </c>
      <c r="F52" s="22">
        <v>449.82</v>
      </c>
      <c r="G52" s="22">
        <v>-0.48699999999999999</v>
      </c>
      <c r="H52" s="22">
        <v>976.95</v>
      </c>
      <c r="I52" s="22">
        <v>-0.48699999999999999</v>
      </c>
      <c r="J52"/>
    </row>
    <row r="53" spans="1:20" ht="15" customHeight="1" x14ac:dyDescent="0.25">
      <c r="A53" s="22"/>
      <c r="B53" s="22"/>
      <c r="C53" s="22"/>
      <c r="D53" s="86"/>
      <c r="E53" s="22"/>
      <c r="F53" s="22"/>
      <c r="G53" s="22"/>
      <c r="H53" s="22"/>
      <c r="I53" s="22"/>
      <c r="J53"/>
    </row>
    <row r="54" spans="1:20" ht="15" customHeight="1" x14ac:dyDescent="0.25">
      <c r="A54" s="22" t="str">
        <f>Eingabe!F58</f>
        <v>Elektro-Direktheizgeräte</v>
      </c>
      <c r="B54" s="22">
        <v>162.94999999999999</v>
      </c>
      <c r="C54" s="22">
        <v>0</v>
      </c>
      <c r="D54" s="86"/>
      <c r="E54" s="22"/>
      <c r="F54" s="22"/>
      <c r="G54" s="22"/>
      <c r="H54" s="22"/>
      <c r="I54" s="22"/>
      <c r="J54" t="s">
        <v>203</v>
      </c>
      <c r="L54" s="12" t="s">
        <v>204</v>
      </c>
    </row>
    <row r="55" spans="1:20" ht="15" customHeight="1" x14ac:dyDescent="0.25">
      <c r="A55" s="22" t="str">
        <f>Eingabe!F59</f>
        <v>Elektro-Speicherheizung</v>
      </c>
      <c r="B55" s="22">
        <v>261.51</v>
      </c>
      <c r="C55" s="22">
        <v>0</v>
      </c>
      <c r="D55" s="86"/>
      <c r="E55" s="22"/>
      <c r="F55" s="22"/>
      <c r="G55" s="22"/>
      <c r="H55" s="22"/>
      <c r="I55" s="22"/>
      <c r="J55" t="s">
        <v>205</v>
      </c>
    </row>
    <row r="56" spans="1:20" ht="15" customHeight="1" x14ac:dyDescent="0.25">
      <c r="A56"/>
      <c r="B56"/>
      <c r="C56"/>
      <c r="D56" s="87"/>
      <c r="E56"/>
      <c r="F56"/>
      <c r="G56"/>
      <c r="H56"/>
      <c r="I56" s="88"/>
      <c r="J56"/>
    </row>
    <row r="57" spans="1:20" ht="15" customHeight="1" x14ac:dyDescent="0.25">
      <c r="A57" s="85"/>
      <c r="B57" s="85"/>
      <c r="C57" s="85"/>
      <c r="D57" s="89"/>
      <c r="E57" s="85"/>
      <c r="F57" s="85"/>
      <c r="G57" s="85"/>
      <c r="H57" s="85"/>
      <c r="I57" s="90"/>
      <c r="J57"/>
    </row>
    <row r="58" spans="1:20" ht="15" customHeight="1" x14ac:dyDescent="0.25">
      <c r="A58"/>
      <c r="B58" s="177" t="s">
        <v>206</v>
      </c>
      <c r="C58" s="177"/>
      <c r="D58" s="87"/>
      <c r="E58"/>
      <c r="F58"/>
      <c r="G58"/>
      <c r="H58"/>
      <c r="I58" s="88"/>
      <c r="J58" s="175" t="s">
        <v>207</v>
      </c>
      <c r="K58" s="175"/>
      <c r="L58" s="175"/>
      <c r="M58" s="175"/>
      <c r="N58" s="175"/>
      <c r="O58" s="175"/>
      <c r="P58" s="175"/>
      <c r="Q58" s="175"/>
      <c r="R58" s="175"/>
      <c r="S58" s="175"/>
      <c r="T58" s="175"/>
    </row>
    <row r="59" spans="1:20" ht="15" customHeight="1" x14ac:dyDescent="0.25">
      <c r="A59"/>
      <c r="B59" s="22" t="s">
        <v>186</v>
      </c>
      <c r="C59" s="22" t="s">
        <v>187</v>
      </c>
      <c r="D59" s="87"/>
      <c r="E59"/>
      <c r="F59"/>
      <c r="G59"/>
      <c r="H59"/>
      <c r="I59" s="88"/>
      <c r="J59" s="175"/>
      <c r="K59" s="175"/>
      <c r="L59" s="175"/>
      <c r="M59" s="175"/>
      <c r="N59" s="175"/>
      <c r="O59" s="175"/>
      <c r="P59" s="175"/>
      <c r="Q59" s="175"/>
      <c r="R59" s="175"/>
      <c r="S59" s="175"/>
      <c r="T59" s="175"/>
    </row>
    <row r="60" spans="1:20" ht="15" customHeight="1" x14ac:dyDescent="0.25">
      <c r="A60"/>
      <c r="B60" s="22" t="s">
        <v>208</v>
      </c>
      <c r="C60" s="22" t="s">
        <v>16</v>
      </c>
      <c r="D60" s="87"/>
      <c r="E60"/>
      <c r="F60"/>
      <c r="G60"/>
      <c r="H60"/>
      <c r="I60" s="88"/>
      <c r="J60" s="175"/>
      <c r="K60" s="175"/>
      <c r="L60" s="175"/>
      <c r="M60" s="175"/>
      <c r="N60" s="175"/>
      <c r="O60" s="175"/>
      <c r="P60" s="175"/>
      <c r="Q60" s="175"/>
      <c r="R60" s="175"/>
      <c r="S60" s="175"/>
      <c r="T60" s="175"/>
    </row>
    <row r="61" spans="1:20" ht="15" customHeight="1" x14ac:dyDescent="0.25">
      <c r="A61"/>
      <c r="B61" s="178" t="s">
        <v>209</v>
      </c>
      <c r="C61" s="178"/>
      <c r="D61" s="87"/>
      <c r="E61"/>
      <c r="F61"/>
      <c r="G61"/>
      <c r="H61"/>
      <c r="I61" s="88"/>
      <c r="J61" s="175"/>
      <c r="K61" s="175"/>
      <c r="L61" s="175"/>
      <c r="M61" s="175"/>
      <c r="N61" s="175"/>
      <c r="O61" s="175"/>
      <c r="P61" s="175"/>
      <c r="Q61" s="175"/>
      <c r="R61" s="175"/>
      <c r="S61" s="175"/>
      <c r="T61" s="175"/>
    </row>
    <row r="62" spans="1:20" ht="15" customHeight="1" x14ac:dyDescent="0.25">
      <c r="A62"/>
      <c r="B62"/>
      <c r="C62"/>
      <c r="D62" s="87"/>
      <c r="E62"/>
      <c r="F62"/>
      <c r="G62"/>
      <c r="H62"/>
      <c r="I62" s="88"/>
      <c r="J62" s="175"/>
      <c r="K62" s="175"/>
      <c r="L62" s="175"/>
      <c r="M62" s="175"/>
      <c r="N62" s="175"/>
      <c r="O62" s="175"/>
      <c r="P62" s="175"/>
      <c r="Q62" s="175"/>
      <c r="R62" s="175"/>
      <c r="S62" s="175"/>
      <c r="T62" s="175"/>
    </row>
    <row r="63" spans="1:20" ht="15" customHeight="1" x14ac:dyDescent="0.25">
      <c r="A63"/>
      <c r="B63" s="173" t="s">
        <v>200</v>
      </c>
      <c r="C63" s="173"/>
      <c r="D63" s="87"/>
      <c r="E63" s="173" t="s">
        <v>210</v>
      </c>
      <c r="F63" s="173"/>
      <c r="G63"/>
      <c r="H63" t="s">
        <v>211</v>
      </c>
      <c r="I63" s="88"/>
      <c r="J63" s="175"/>
      <c r="K63" s="175"/>
      <c r="L63" s="175"/>
      <c r="M63" s="175"/>
      <c r="N63" s="175"/>
      <c r="O63" s="175"/>
      <c r="P63" s="175"/>
      <c r="Q63" s="175"/>
      <c r="R63" s="175"/>
      <c r="S63" s="175"/>
      <c r="T63" s="175"/>
    </row>
    <row r="64" spans="1:20" ht="15" customHeight="1" x14ac:dyDescent="0.25">
      <c r="A64" s="16" t="str">
        <f>Eingabe!F60</f>
        <v>Wärmepumpe (Erdkollektor) nach Heizlast</v>
      </c>
      <c r="B64" s="22">
        <v>3508</v>
      </c>
      <c r="C64" s="22">
        <v>-0.62</v>
      </c>
      <c r="D64" s="91"/>
      <c r="E64" s="92">
        <v>0.75600000000000001</v>
      </c>
      <c r="F64" s="92">
        <v>14.78</v>
      </c>
      <c r="G64"/>
      <c r="H64" t="s">
        <v>212</v>
      </c>
      <c r="I64" s="93"/>
      <c r="J64" s="175"/>
      <c r="K64" s="175"/>
      <c r="L64" s="175"/>
      <c r="M64" s="175"/>
      <c r="N64" s="175"/>
      <c r="O64" s="175"/>
      <c r="P64" s="175"/>
      <c r="Q64" s="175"/>
      <c r="R64" s="175"/>
      <c r="S64" s="175"/>
      <c r="T64" s="175"/>
    </row>
    <row r="65" spans="1:20" ht="15" customHeight="1" x14ac:dyDescent="0.25">
      <c r="A65" s="16" t="str">
        <f>Eingabe!F61</f>
        <v>Wärmepumpe (Erdsonde) nach Heizlast</v>
      </c>
      <c r="B65" s="22">
        <v>5367</v>
      </c>
      <c r="C65" s="22">
        <v>-0.66</v>
      </c>
      <c r="D65" s="91"/>
      <c r="E65" s="92">
        <v>1.407</v>
      </c>
      <c r="F65" s="92">
        <v>15.97</v>
      </c>
      <c r="G65" s="92"/>
      <c r="H65" s="92" t="s">
        <v>213</v>
      </c>
      <c r="I65" s="93"/>
      <c r="J65" s="175"/>
      <c r="K65" s="175"/>
      <c r="L65" s="175"/>
      <c r="M65" s="175"/>
      <c r="N65" s="175"/>
      <c r="O65" s="175"/>
      <c r="P65" s="175"/>
      <c r="Q65" s="175"/>
      <c r="R65" s="175"/>
      <c r="S65" s="175"/>
      <c r="T65" s="175"/>
    </row>
    <row r="66" spans="1:20" ht="15" customHeight="1" x14ac:dyDescent="0.25">
      <c r="A66" s="16" t="str">
        <f>Eingabe!F62</f>
        <v>Wärmepumpe (Luft) nach Heizlast</v>
      </c>
      <c r="B66" s="22">
        <v>2314</v>
      </c>
      <c r="C66" s="22">
        <v>-0.57999999999999996</v>
      </c>
      <c r="D66" s="91"/>
      <c r="E66" s="92">
        <v>0.629</v>
      </c>
      <c r="F66" s="92">
        <v>12</v>
      </c>
      <c r="G66" s="92"/>
      <c r="H66" s="92" t="s">
        <v>214</v>
      </c>
      <c r="I66" s="93"/>
      <c r="J66" s="175"/>
      <c r="K66" s="175"/>
      <c r="L66" s="175"/>
      <c r="M66" s="175"/>
      <c r="N66" s="175"/>
      <c r="O66" s="175"/>
      <c r="P66" s="175"/>
      <c r="Q66" s="175"/>
      <c r="R66" s="175"/>
      <c r="S66" s="175"/>
      <c r="T66" s="175"/>
    </row>
    <row r="67" spans="1:20" ht="15" customHeight="1" x14ac:dyDescent="0.25">
      <c r="A67"/>
      <c r="B67" s="94"/>
      <c r="C67"/>
      <c r="D67" s="87"/>
      <c r="E67"/>
      <c r="F67"/>
      <c r="G67"/>
      <c r="H67"/>
      <c r="I67"/>
      <c r="J67"/>
    </row>
    <row r="68" spans="1:20" ht="15" customHeight="1" x14ac:dyDescent="0.25">
      <c r="A68"/>
      <c r="B68" s="94"/>
      <c r="C68"/>
      <c r="D68" s="87"/>
      <c r="E68"/>
      <c r="F68"/>
      <c r="G68"/>
      <c r="H68"/>
      <c r="I68"/>
      <c r="J68"/>
    </row>
    <row r="69" spans="1:20" ht="15" customHeight="1" x14ac:dyDescent="0.25">
      <c r="A69" s="95"/>
      <c r="B69" s="177" t="s">
        <v>206</v>
      </c>
      <c r="C69" s="177"/>
      <c r="D69" s="96"/>
      <c r="E69" s="95"/>
      <c r="F69" s="95"/>
      <c r="G69" s="95"/>
      <c r="H69" s="95"/>
      <c r="I69" s="35"/>
      <c r="J69"/>
    </row>
    <row r="70" spans="1:20" ht="15" customHeight="1" x14ac:dyDescent="0.25">
      <c r="A70"/>
      <c r="B70" s="22" t="s">
        <v>186</v>
      </c>
      <c r="C70" s="22" t="s">
        <v>187</v>
      </c>
      <c r="D70" s="87"/>
      <c r="E70"/>
      <c r="F70"/>
      <c r="G70"/>
      <c r="H70"/>
      <c r="I70" s="88"/>
      <c r="J70"/>
    </row>
    <row r="71" spans="1:20" ht="19.899999999999999" customHeight="1" x14ac:dyDescent="0.25">
      <c r="A71"/>
      <c r="B71" s="97" t="s">
        <v>215</v>
      </c>
      <c r="C71" s="97" t="s">
        <v>16</v>
      </c>
      <c r="D71" s="87"/>
      <c r="E71"/>
      <c r="F71"/>
      <c r="G71"/>
      <c r="H71"/>
      <c r="I71" s="88"/>
      <c r="J71"/>
    </row>
    <row r="72" spans="1:20" ht="19.899999999999999" customHeight="1" x14ac:dyDescent="0.25">
      <c r="A72"/>
      <c r="B72" s="178" t="s">
        <v>216</v>
      </c>
      <c r="C72" s="178"/>
      <c r="D72" s="87"/>
      <c r="E72"/>
      <c r="F72"/>
      <c r="G72"/>
      <c r="H72"/>
      <c r="I72" s="88"/>
      <c r="J72"/>
    </row>
    <row r="73" spans="1:20" ht="15" customHeight="1" x14ac:dyDescent="0.25">
      <c r="A73"/>
      <c r="B73" s="98"/>
      <c r="C73"/>
      <c r="D73" s="87"/>
      <c r="E73"/>
      <c r="F73"/>
      <c r="G73"/>
      <c r="H73"/>
      <c r="I73" s="88"/>
      <c r="J73"/>
    </row>
    <row r="74" spans="1:20" ht="15" customHeight="1" x14ac:dyDescent="0.25">
      <c r="A74"/>
      <c r="B74" s="181" t="s">
        <v>217</v>
      </c>
      <c r="C74" s="181"/>
      <c r="D74" s="87"/>
      <c r="E74"/>
      <c r="F74"/>
      <c r="G74"/>
      <c r="H74"/>
      <c r="I74" s="88"/>
      <c r="J74"/>
    </row>
    <row r="75" spans="1:20" ht="19.899999999999999" customHeight="1" x14ac:dyDescent="0.25">
      <c r="A75" s="83" t="s">
        <v>121</v>
      </c>
      <c r="B75" s="98" t="s">
        <v>215</v>
      </c>
      <c r="C75"/>
      <c r="D75" s="87"/>
      <c r="E75"/>
      <c r="F75"/>
      <c r="G75"/>
      <c r="H75"/>
      <c r="I75" s="88"/>
      <c r="J75"/>
    </row>
    <row r="76" spans="1:20" ht="15" customHeight="1" x14ac:dyDescent="0.35">
      <c r="A76" s="99" t="s">
        <v>218</v>
      </c>
      <c r="B76" s="100">
        <v>9585</v>
      </c>
      <c r="C76" s="101">
        <v>-0.54200000000000004</v>
      </c>
      <c r="D76" s="95"/>
      <c r="E76" s="95"/>
      <c r="F76" s="95"/>
      <c r="G76" s="95"/>
      <c r="H76" s="95"/>
      <c r="I76" s="35"/>
      <c r="J76" s="175" t="s">
        <v>219</v>
      </c>
      <c r="K76" s="175"/>
      <c r="L76" s="175"/>
      <c r="M76" s="175"/>
      <c r="N76" s="175"/>
      <c r="O76" s="175"/>
      <c r="P76" s="175"/>
      <c r="Q76" s="175"/>
      <c r="R76" s="175"/>
      <c r="S76" s="175"/>
      <c r="T76" s="175"/>
    </row>
    <row r="77" spans="1:20" ht="15" customHeight="1" x14ac:dyDescent="0.35">
      <c r="A77" s="99" t="s">
        <v>220</v>
      </c>
      <c r="B77" s="100">
        <v>5438</v>
      </c>
      <c r="C77" s="101">
        <v>-0.35099999999999998</v>
      </c>
      <c r="D77"/>
      <c r="E77"/>
      <c r="F77"/>
      <c r="G77"/>
      <c r="H77"/>
      <c r="I77" s="88"/>
      <c r="J77" s="175"/>
      <c r="K77" s="175"/>
      <c r="L77" s="175"/>
      <c r="M77" s="175"/>
      <c r="N77" s="175"/>
      <c r="O77" s="175"/>
      <c r="P77" s="175"/>
      <c r="Q77" s="175"/>
      <c r="R77" s="175"/>
      <c r="S77" s="175"/>
      <c r="T77" s="175"/>
    </row>
    <row r="78" spans="1:20" ht="15" customHeight="1" x14ac:dyDescent="0.35">
      <c r="A78" s="99" t="s">
        <v>221</v>
      </c>
      <c r="B78" s="100">
        <v>4907</v>
      </c>
      <c r="C78" s="101">
        <v>-0.35199999999999998</v>
      </c>
      <c r="D78"/>
      <c r="E78"/>
      <c r="F78"/>
      <c r="G78"/>
      <c r="H78"/>
      <c r="I78" s="88"/>
      <c r="J78" s="175"/>
      <c r="K78" s="175"/>
      <c r="L78" s="175"/>
      <c r="M78" s="175"/>
      <c r="N78" s="175"/>
      <c r="O78" s="175"/>
      <c r="P78" s="175"/>
      <c r="Q78" s="175"/>
      <c r="R78" s="175"/>
      <c r="S78" s="175"/>
      <c r="T78" s="175"/>
    </row>
    <row r="79" spans="1:20" ht="15" customHeight="1" x14ac:dyDescent="0.35">
      <c r="A79" s="99" t="s">
        <v>222</v>
      </c>
      <c r="B79" s="100">
        <v>460.89</v>
      </c>
      <c r="C79" s="101">
        <v>-1.4999999999999999E-2</v>
      </c>
      <c r="D79"/>
      <c r="E79"/>
      <c r="F79"/>
      <c r="G79"/>
      <c r="H79"/>
      <c r="I79" s="88"/>
      <c r="J79" s="175"/>
      <c r="K79" s="175"/>
      <c r="L79" s="175"/>
      <c r="M79" s="175"/>
      <c r="N79" s="175"/>
      <c r="O79" s="175"/>
      <c r="P79" s="175"/>
      <c r="Q79" s="175"/>
      <c r="R79" s="175"/>
      <c r="S79" s="175"/>
      <c r="T79" s="175"/>
    </row>
    <row r="80" spans="1:20" ht="15" customHeight="1" x14ac:dyDescent="0.35">
      <c r="A80" s="99" t="s">
        <v>223</v>
      </c>
      <c r="B80" s="100" t="s">
        <v>54</v>
      </c>
      <c r="C80" s="101" t="s">
        <v>54</v>
      </c>
      <c r="D80" s="95"/>
      <c r="E80" s="95"/>
      <c r="F80" s="95"/>
      <c r="G80" s="95"/>
      <c r="H80" s="95"/>
      <c r="I80" s="35"/>
      <c r="J80" s="175"/>
      <c r="K80" s="175"/>
      <c r="L80" s="175"/>
      <c r="M80" s="175"/>
      <c r="N80" s="175"/>
      <c r="O80" s="175"/>
      <c r="P80" s="175"/>
      <c r="Q80" s="175"/>
      <c r="R80" s="175"/>
      <c r="S80" s="175"/>
      <c r="T80" s="175"/>
    </row>
    <row r="81" spans="1:20" ht="15" customHeight="1" x14ac:dyDescent="0.35">
      <c r="A81" s="99" t="s">
        <v>224</v>
      </c>
      <c r="B81" s="100">
        <v>10267</v>
      </c>
      <c r="C81" s="101">
        <v>-0.497</v>
      </c>
      <c r="D81"/>
      <c r="E81"/>
      <c r="F81"/>
      <c r="G81"/>
      <c r="H81"/>
      <c r="I81" s="88"/>
      <c r="J81" s="175"/>
      <c r="K81" s="175"/>
      <c r="L81" s="175"/>
      <c r="M81" s="175"/>
      <c r="N81" s="175"/>
      <c r="O81" s="175"/>
      <c r="P81" s="175"/>
      <c r="Q81" s="175"/>
      <c r="R81" s="175"/>
      <c r="S81" s="175"/>
      <c r="T81" s="175"/>
    </row>
    <row r="82" spans="1:20" ht="15" customHeight="1" x14ac:dyDescent="0.35">
      <c r="A82" s="99" t="s">
        <v>225</v>
      </c>
      <c r="B82" s="100">
        <v>4276</v>
      </c>
      <c r="C82" s="101">
        <v>-0.32500000000000001</v>
      </c>
      <c r="D82"/>
      <c r="E82"/>
      <c r="F82"/>
      <c r="G82"/>
      <c r="H82"/>
      <c r="I82" s="88"/>
      <c r="J82" s="175"/>
      <c r="K82" s="175"/>
      <c r="L82" s="175"/>
      <c r="M82" s="175"/>
      <c r="N82" s="175"/>
      <c r="O82" s="175"/>
      <c r="P82" s="175"/>
      <c r="Q82" s="175"/>
      <c r="R82" s="175"/>
      <c r="S82" s="175"/>
      <c r="T82" s="175"/>
    </row>
    <row r="83" spans="1:20" ht="15" customHeight="1" x14ac:dyDescent="0.35">
      <c r="A83" s="99" t="s">
        <v>226</v>
      </c>
      <c r="B83" s="100">
        <v>1000.1</v>
      </c>
      <c r="C83" s="101">
        <v>-0.11700000000000001</v>
      </c>
      <c r="D83"/>
      <c r="E83"/>
      <c r="F83"/>
      <c r="G83"/>
      <c r="H83"/>
      <c r="I83" s="88"/>
      <c r="J83" s="175"/>
      <c r="K83" s="175"/>
      <c r="L83" s="175"/>
      <c r="M83" s="175"/>
      <c r="N83" s="175"/>
      <c r="O83" s="175"/>
      <c r="P83" s="175"/>
      <c r="Q83" s="175"/>
      <c r="R83" s="175"/>
      <c r="S83" s="175"/>
      <c r="T83" s="175"/>
    </row>
    <row r="84" spans="1:20" ht="15" customHeight="1" x14ac:dyDescent="0.35">
      <c r="A84" s="99" t="s">
        <v>227</v>
      </c>
      <c r="B84" s="100" t="s">
        <v>54</v>
      </c>
      <c r="C84" s="101" t="s">
        <v>54</v>
      </c>
      <c r="D84" s="95"/>
      <c r="E84" s="95"/>
      <c r="F84" s="95"/>
      <c r="G84" s="95"/>
      <c r="H84" s="95"/>
      <c r="I84" s="35"/>
      <c r="J84" s="175"/>
      <c r="K84" s="175"/>
      <c r="L84" s="175"/>
      <c r="M84" s="175"/>
      <c r="N84" s="175"/>
      <c r="O84" s="175"/>
      <c r="P84" s="175"/>
      <c r="Q84" s="175"/>
      <c r="R84" s="175"/>
      <c r="S84" s="175"/>
      <c r="T84" s="175"/>
    </row>
    <row r="85" spans="1:20" ht="15" customHeight="1" x14ac:dyDescent="0.35">
      <c r="A85" s="99" t="s">
        <v>228</v>
      </c>
      <c r="B85" s="100">
        <v>11834</v>
      </c>
      <c r="C85" s="101">
        <v>-0.52</v>
      </c>
      <c r="D85"/>
      <c r="E85"/>
      <c r="F85"/>
      <c r="G85"/>
      <c r="H85"/>
      <c r="I85" s="88"/>
      <c r="J85" s="175"/>
      <c r="K85" s="175"/>
      <c r="L85" s="175"/>
      <c r="M85" s="175"/>
      <c r="N85" s="175"/>
      <c r="O85" s="175"/>
      <c r="P85" s="175"/>
      <c r="Q85" s="175"/>
      <c r="R85" s="175"/>
      <c r="S85" s="175"/>
      <c r="T85" s="175"/>
    </row>
    <row r="86" spans="1:20" ht="15" customHeight="1" x14ac:dyDescent="0.35">
      <c r="A86" s="99" t="s">
        <v>229</v>
      </c>
      <c r="B86" s="100">
        <v>4497</v>
      </c>
      <c r="C86" s="101">
        <v>-0.33</v>
      </c>
      <c r="D86"/>
      <c r="E86"/>
      <c r="F86"/>
      <c r="G86"/>
      <c r="H86"/>
      <c r="I86" s="88"/>
      <c r="J86" s="175"/>
      <c r="K86" s="175"/>
      <c r="L86" s="175"/>
      <c r="M86" s="175"/>
      <c r="N86" s="175"/>
      <c r="O86" s="175"/>
      <c r="P86" s="175"/>
      <c r="Q86" s="175"/>
      <c r="R86" s="175"/>
      <c r="S86" s="175"/>
      <c r="T86" s="175"/>
    </row>
    <row r="87" spans="1:20" ht="15" customHeight="1" x14ac:dyDescent="0.35">
      <c r="A87" s="99" t="s">
        <v>230</v>
      </c>
      <c r="B87" s="100">
        <v>954.67</v>
      </c>
      <c r="C87" s="101">
        <v>-0.11</v>
      </c>
      <c r="D87"/>
      <c r="E87"/>
      <c r="F87"/>
      <c r="G87"/>
      <c r="H87"/>
      <c r="I87" s="88"/>
      <c r="J87" s="175"/>
      <c r="K87" s="175"/>
      <c r="L87" s="175"/>
      <c r="M87" s="175"/>
      <c r="N87" s="175"/>
      <c r="O87" s="175"/>
      <c r="P87" s="175"/>
      <c r="Q87" s="175"/>
      <c r="R87" s="175"/>
      <c r="S87" s="175"/>
      <c r="T87" s="175"/>
    </row>
    <row r="88" spans="1:20" ht="15" customHeight="1" x14ac:dyDescent="0.35">
      <c r="A88" s="99" t="s">
        <v>231</v>
      </c>
      <c r="B88" s="100">
        <v>10375</v>
      </c>
      <c r="C88" s="101">
        <v>-0.6</v>
      </c>
      <c r="D88" s="95"/>
      <c r="E88" s="95"/>
      <c r="F88" s="95"/>
      <c r="G88" s="95"/>
      <c r="H88" s="95"/>
      <c r="I88" s="35"/>
      <c r="J88" s="175"/>
      <c r="K88" s="175"/>
      <c r="L88" s="175"/>
      <c r="M88" s="175"/>
      <c r="N88" s="175"/>
      <c r="O88" s="175"/>
      <c r="P88" s="175"/>
      <c r="Q88" s="175"/>
      <c r="R88" s="175"/>
      <c r="S88" s="175"/>
      <c r="T88" s="175"/>
    </row>
    <row r="89" spans="1:20" ht="15" customHeight="1" x14ac:dyDescent="0.35">
      <c r="A89" s="99" t="s">
        <v>232</v>
      </c>
      <c r="B89" s="100">
        <v>5242</v>
      </c>
      <c r="C89" s="101">
        <v>-0.33700000000000002</v>
      </c>
      <c r="D89"/>
      <c r="E89"/>
      <c r="F89"/>
      <c r="G89"/>
      <c r="H89"/>
      <c r="I89" s="88"/>
      <c r="J89" s="175"/>
      <c r="K89" s="175"/>
      <c r="L89" s="175"/>
      <c r="M89" s="175"/>
      <c r="N89" s="175"/>
      <c r="O89" s="175"/>
      <c r="P89" s="175"/>
      <c r="Q89" s="175"/>
      <c r="R89" s="175"/>
      <c r="S89" s="175"/>
      <c r="T89" s="175"/>
    </row>
    <row r="90" spans="1:20" ht="15" customHeight="1" x14ac:dyDescent="0.35">
      <c r="A90" s="99" t="s">
        <v>233</v>
      </c>
      <c r="B90" s="100">
        <v>5242.3999999999996</v>
      </c>
      <c r="C90" s="101">
        <v>-0.35899999999999999</v>
      </c>
      <c r="D90"/>
      <c r="E90"/>
      <c r="F90"/>
      <c r="G90"/>
      <c r="H90"/>
      <c r="I90" s="88"/>
      <c r="J90" s="175"/>
      <c r="K90" s="175"/>
      <c r="L90" s="175"/>
      <c r="M90" s="175"/>
      <c r="N90" s="175"/>
      <c r="O90" s="175"/>
      <c r="P90" s="175"/>
      <c r="Q90" s="175"/>
      <c r="R90" s="175"/>
      <c r="S90" s="175"/>
      <c r="T90" s="175"/>
    </row>
    <row r="91" spans="1:20" ht="15" customHeight="1" x14ac:dyDescent="0.35">
      <c r="A91" s="99" t="s">
        <v>234</v>
      </c>
      <c r="B91" s="100" t="s">
        <v>54</v>
      </c>
      <c r="C91" s="101" t="s">
        <v>54</v>
      </c>
      <c r="D91"/>
      <c r="E91"/>
      <c r="F91"/>
      <c r="G91"/>
      <c r="H91"/>
      <c r="I91" s="88"/>
      <c r="J91" s="175"/>
      <c r="K91" s="175"/>
      <c r="L91" s="175"/>
      <c r="M91" s="175"/>
      <c r="N91" s="175"/>
      <c r="O91" s="175"/>
      <c r="P91" s="175"/>
      <c r="Q91" s="175"/>
      <c r="R91" s="175"/>
      <c r="S91" s="175"/>
      <c r="T91" s="175"/>
    </row>
    <row r="92" spans="1:20" ht="15" customHeight="1" x14ac:dyDescent="0.35">
      <c r="A92" s="99" t="s">
        <v>235</v>
      </c>
      <c r="B92" s="100">
        <v>12333</v>
      </c>
      <c r="C92" s="101">
        <v>-0.75800000000000001</v>
      </c>
      <c r="D92" s="95"/>
      <c r="E92" s="95"/>
      <c r="F92" s="95"/>
      <c r="G92" s="95"/>
      <c r="H92" s="95"/>
      <c r="I92" s="35"/>
      <c r="J92" s="175"/>
      <c r="K92" s="175"/>
      <c r="L92" s="175"/>
      <c r="M92" s="175"/>
      <c r="N92" s="175"/>
      <c r="O92" s="175"/>
      <c r="P92" s="175"/>
      <c r="Q92" s="175"/>
      <c r="R92" s="175"/>
      <c r="S92" s="175"/>
      <c r="T92" s="175"/>
    </row>
    <row r="93" spans="1:20" ht="15" customHeight="1" x14ac:dyDescent="0.35">
      <c r="A93" s="99" t="s">
        <v>236</v>
      </c>
      <c r="B93" s="100">
        <v>2693</v>
      </c>
      <c r="C93" s="101">
        <v>-0.215</v>
      </c>
      <c r="D93"/>
      <c r="E93"/>
      <c r="F93"/>
      <c r="G93"/>
      <c r="H93"/>
      <c r="I93" s="88"/>
      <c r="J93" s="175"/>
      <c r="K93" s="175"/>
      <c r="L93" s="175"/>
      <c r="M93" s="175"/>
      <c r="N93" s="175"/>
      <c r="O93" s="175"/>
      <c r="P93" s="175"/>
      <c r="Q93" s="175"/>
      <c r="R93" s="175"/>
      <c r="S93" s="175"/>
      <c r="T93" s="175"/>
    </row>
    <row r="94" spans="1:20" ht="15" customHeight="1" x14ac:dyDescent="0.35">
      <c r="A94" s="99" t="s">
        <v>237</v>
      </c>
      <c r="B94" s="100" t="s">
        <v>54</v>
      </c>
      <c r="C94" s="101" t="s">
        <v>54</v>
      </c>
      <c r="D94"/>
      <c r="E94"/>
      <c r="F94"/>
      <c r="G94"/>
      <c r="H94"/>
      <c r="I94" s="88"/>
      <c r="J94" s="175"/>
      <c r="K94" s="175"/>
      <c r="L94" s="175"/>
      <c r="M94" s="175"/>
      <c r="N94" s="175"/>
      <c r="O94" s="175"/>
      <c r="P94" s="175"/>
      <c r="Q94" s="175"/>
      <c r="R94" s="175"/>
      <c r="S94" s="175"/>
      <c r="T94" s="175"/>
    </row>
    <row r="95" spans="1:20" ht="15" customHeight="1" x14ac:dyDescent="0.35">
      <c r="A95" s="99" t="s">
        <v>238</v>
      </c>
      <c r="B95" s="100" t="s">
        <v>54</v>
      </c>
      <c r="C95" s="101" t="s">
        <v>54</v>
      </c>
      <c r="D95" s="85"/>
      <c r="E95" s="85"/>
      <c r="F95" s="85"/>
      <c r="G95" s="85"/>
      <c r="H95" s="85"/>
      <c r="I95" s="90"/>
      <c r="J95" s="175"/>
      <c r="K95" s="175"/>
      <c r="L95" s="175"/>
      <c r="M95" s="175"/>
      <c r="N95" s="175"/>
      <c r="O95" s="175"/>
      <c r="P95" s="175"/>
      <c r="Q95" s="175"/>
      <c r="R95" s="175"/>
      <c r="S95" s="175"/>
      <c r="T95" s="175"/>
    </row>
    <row r="96" spans="1:20" ht="15" customHeight="1" x14ac:dyDescent="0.25">
      <c r="A96" s="6"/>
      <c r="B96" s="102"/>
      <c r="C96" s="103"/>
      <c r="D96"/>
      <c r="E96"/>
      <c r="F96"/>
      <c r="G96"/>
      <c r="H96"/>
      <c r="I96"/>
      <c r="J96" s="175"/>
      <c r="K96" s="175"/>
      <c r="L96" s="175"/>
      <c r="M96" s="175"/>
      <c r="N96" s="175"/>
      <c r="O96" s="175"/>
      <c r="P96" s="175"/>
      <c r="Q96" s="175"/>
      <c r="R96" s="175"/>
      <c r="S96" s="175"/>
      <c r="T96" s="175"/>
    </row>
    <row r="97" spans="1:20" ht="15" customHeight="1" x14ac:dyDescent="0.25">
      <c r="A97" s="6"/>
      <c r="B97" s="182" t="s">
        <v>239</v>
      </c>
      <c r="C97" s="182"/>
      <c r="D97" s="183" t="s">
        <v>240</v>
      </c>
      <c r="E97" s="183"/>
      <c r="F97" s="183" t="s">
        <v>241</v>
      </c>
      <c r="G97" s="183"/>
      <c r="H97" s="95"/>
      <c r="I97" s="35"/>
      <c r="J97" s="175"/>
      <c r="K97" s="175"/>
      <c r="L97" s="175"/>
      <c r="M97" s="175"/>
      <c r="N97" s="175"/>
      <c r="O97" s="175"/>
      <c r="P97" s="175"/>
      <c r="Q97" s="175"/>
      <c r="R97" s="175"/>
      <c r="S97" s="175"/>
      <c r="T97" s="175"/>
    </row>
    <row r="98" spans="1:20" ht="15" customHeight="1" x14ac:dyDescent="0.25">
      <c r="A98" s="6"/>
      <c r="B98" s="182"/>
      <c r="C98" s="182"/>
      <c r="D98" s="183"/>
      <c r="E98" s="183"/>
      <c r="F98" s="183"/>
      <c r="G98" s="183"/>
      <c r="H98"/>
      <c r="I98" s="88"/>
      <c r="J98" s="175"/>
      <c r="K98" s="175"/>
      <c r="L98" s="175"/>
      <c r="M98" s="175"/>
      <c r="N98" s="175"/>
      <c r="O98" s="175"/>
      <c r="P98" s="175"/>
      <c r="Q98" s="175"/>
      <c r="R98" s="175"/>
      <c r="S98" s="175"/>
      <c r="T98" s="175"/>
    </row>
    <row r="99" spans="1:20" ht="15" customHeight="1" x14ac:dyDescent="0.35">
      <c r="A99" s="99" t="s">
        <v>242</v>
      </c>
      <c r="B99" s="100"/>
      <c r="C99" s="101"/>
      <c r="D99" s="92"/>
      <c r="E99" s="93"/>
      <c r="F99" s="92"/>
      <c r="G99" s="93"/>
      <c r="H99"/>
      <c r="I99" s="88"/>
      <c r="J99" s="175"/>
      <c r="K99" s="175"/>
      <c r="L99" s="175"/>
      <c r="M99" s="175"/>
      <c r="N99" s="175"/>
      <c r="O99" s="175"/>
      <c r="P99" s="175"/>
      <c r="Q99" s="175"/>
      <c r="R99" s="175"/>
      <c r="S99" s="175"/>
      <c r="T99" s="175"/>
    </row>
    <row r="100" spans="1:20" ht="15" customHeight="1" x14ac:dyDescent="0.25">
      <c r="A100" s="104" t="s">
        <v>243</v>
      </c>
      <c r="B100" s="105">
        <v>3</v>
      </c>
      <c r="C100" s="105"/>
      <c r="D100" s="92"/>
      <c r="E100" s="93">
        <v>13</v>
      </c>
      <c r="F100" s="92"/>
      <c r="G100" s="93">
        <v>46</v>
      </c>
      <c r="H100"/>
      <c r="I100" s="88"/>
      <c r="J100" s="175"/>
      <c r="K100" s="175"/>
      <c r="L100" s="175"/>
      <c r="M100" s="175"/>
      <c r="N100" s="175"/>
      <c r="O100" s="175"/>
      <c r="P100" s="175"/>
      <c r="Q100" s="175"/>
      <c r="R100" s="175"/>
      <c r="S100" s="175"/>
      <c r="T100" s="175"/>
    </row>
    <row r="101" spans="1:20" ht="15" customHeight="1" x14ac:dyDescent="0.25">
      <c r="A101" s="104" t="s">
        <v>244</v>
      </c>
      <c r="B101" s="105">
        <v>3</v>
      </c>
      <c r="C101" s="105" t="s">
        <v>245</v>
      </c>
      <c r="D101" s="92"/>
      <c r="E101" s="93">
        <v>10</v>
      </c>
      <c r="F101" s="92"/>
      <c r="G101" s="93">
        <v>41</v>
      </c>
      <c r="H101"/>
      <c r="I101" s="88"/>
      <c r="J101" s="175"/>
      <c r="K101" s="175"/>
      <c r="L101" s="175"/>
      <c r="M101" s="175"/>
      <c r="N101" s="175"/>
      <c r="O101" s="175"/>
      <c r="P101" s="175"/>
      <c r="Q101" s="175"/>
      <c r="R101" s="175"/>
      <c r="S101" s="175"/>
      <c r="T101" s="175"/>
    </row>
    <row r="102" spans="1:20" ht="15" customHeight="1" x14ac:dyDescent="0.25">
      <c r="A102" s="104" t="s">
        <v>244</v>
      </c>
      <c r="B102" s="105">
        <v>10</v>
      </c>
      <c r="C102" s="105" t="s">
        <v>246</v>
      </c>
      <c r="D102" s="92"/>
      <c r="E102" s="93">
        <v>6</v>
      </c>
      <c r="F102" s="92"/>
      <c r="G102" s="93">
        <v>39</v>
      </c>
      <c r="H102"/>
      <c r="I102" s="88"/>
      <c r="J102" s="175"/>
      <c r="K102" s="175"/>
      <c r="L102" s="175"/>
      <c r="M102" s="175"/>
      <c r="N102" s="175"/>
      <c r="O102" s="175"/>
      <c r="P102" s="175"/>
      <c r="Q102" s="175"/>
      <c r="R102" s="175"/>
      <c r="S102" s="175"/>
      <c r="T102" s="175"/>
    </row>
    <row r="103" spans="1:20" ht="15" customHeight="1" x14ac:dyDescent="0.25">
      <c r="A103" s="104" t="s">
        <v>244</v>
      </c>
      <c r="B103" s="105">
        <v>100</v>
      </c>
      <c r="C103" s="105" t="s">
        <v>247</v>
      </c>
      <c r="D103" s="92"/>
      <c r="E103" s="93">
        <v>6</v>
      </c>
      <c r="F103" s="92"/>
      <c r="G103" s="93">
        <v>45</v>
      </c>
      <c r="H103"/>
      <c r="I103" s="88"/>
      <c r="J103" s="175"/>
      <c r="K103" s="175"/>
      <c r="L103" s="175"/>
      <c r="M103" s="175"/>
      <c r="N103" s="175"/>
      <c r="O103" s="175"/>
      <c r="P103" s="175"/>
      <c r="Q103" s="175"/>
      <c r="R103" s="175"/>
      <c r="S103" s="175"/>
      <c r="T103" s="175"/>
    </row>
    <row r="104" spans="1:20" ht="15" customHeight="1" x14ac:dyDescent="0.25">
      <c r="A104" s="104" t="s">
        <v>244</v>
      </c>
      <c r="B104" s="105">
        <v>350</v>
      </c>
      <c r="C104" s="105" t="s">
        <v>248</v>
      </c>
      <c r="D104" s="92"/>
      <c r="E104" s="93">
        <v>6</v>
      </c>
      <c r="F104" s="92"/>
      <c r="G104" s="93">
        <v>54</v>
      </c>
      <c r="H104"/>
      <c r="I104" s="88"/>
      <c r="J104" s="175"/>
      <c r="K104" s="175"/>
      <c r="L104" s="175"/>
      <c r="M104" s="175"/>
      <c r="N104" s="175"/>
      <c r="O104" s="175"/>
      <c r="P104" s="175"/>
      <c r="Q104" s="175"/>
      <c r="R104" s="175"/>
      <c r="S104" s="175"/>
      <c r="T104" s="175"/>
    </row>
    <row r="105" spans="1:20" ht="15" customHeight="1" x14ac:dyDescent="0.25">
      <c r="A105" s="104" t="s">
        <v>244</v>
      </c>
      <c r="B105" s="105">
        <v>500</v>
      </c>
      <c r="C105" s="105" t="s">
        <v>249</v>
      </c>
      <c r="D105" s="92"/>
      <c r="E105" s="93">
        <v>6</v>
      </c>
      <c r="F105" s="92"/>
      <c r="G105" s="93">
        <v>60</v>
      </c>
      <c r="H105"/>
      <c r="I105" s="88"/>
      <c r="J105" s="175"/>
      <c r="K105" s="175"/>
      <c r="L105" s="175"/>
      <c r="M105" s="175"/>
      <c r="N105" s="175"/>
      <c r="O105" s="175"/>
      <c r="P105" s="175"/>
      <c r="Q105" s="175"/>
      <c r="R105" s="175"/>
      <c r="S105" s="175"/>
      <c r="T105" s="175"/>
    </row>
    <row r="106" spans="1:20" ht="15" customHeight="1" x14ac:dyDescent="0.25">
      <c r="A106" s="104" t="s">
        <v>244</v>
      </c>
      <c r="B106" s="105">
        <v>750</v>
      </c>
      <c r="C106" s="105" t="s">
        <v>250</v>
      </c>
      <c r="D106" s="92"/>
      <c r="E106" s="93">
        <v>7</v>
      </c>
      <c r="F106" s="92"/>
      <c r="G106" s="93">
        <v>67</v>
      </c>
      <c r="H106"/>
      <c r="I106" s="88"/>
      <c r="J106" s="175"/>
      <c r="K106" s="175"/>
      <c r="L106" s="175"/>
      <c r="M106" s="175"/>
      <c r="N106" s="175"/>
      <c r="O106" s="175"/>
      <c r="P106" s="175"/>
      <c r="Q106" s="175"/>
      <c r="R106" s="175"/>
      <c r="S106" s="175"/>
      <c r="T106" s="175"/>
    </row>
    <row r="107" spans="1:20" ht="15" customHeight="1" x14ac:dyDescent="0.25">
      <c r="A107" s="104" t="s">
        <v>244</v>
      </c>
      <c r="B107" s="105">
        <v>1000</v>
      </c>
      <c r="C107" s="105" t="s">
        <v>251</v>
      </c>
      <c r="D107" s="92"/>
      <c r="E107" s="93">
        <v>19</v>
      </c>
      <c r="F107" s="92"/>
      <c r="G107" s="93">
        <v>76</v>
      </c>
      <c r="H107"/>
      <c r="I107" s="88"/>
      <c r="J107" s="175"/>
      <c r="K107" s="175"/>
      <c r="L107" s="175"/>
      <c r="M107" s="175"/>
      <c r="N107" s="175"/>
      <c r="O107" s="175"/>
      <c r="P107" s="175"/>
      <c r="Q107" s="175"/>
      <c r="R107" s="175"/>
      <c r="S107" s="175"/>
      <c r="T107" s="175"/>
    </row>
    <row r="108" spans="1:20" ht="15" customHeight="1" x14ac:dyDescent="0.25">
      <c r="A108" s="104" t="s">
        <v>244</v>
      </c>
      <c r="B108" s="105">
        <v>1500</v>
      </c>
      <c r="C108" s="105" t="s">
        <v>252</v>
      </c>
      <c r="D108" s="92"/>
      <c r="E108" s="93">
        <v>18</v>
      </c>
      <c r="F108" s="92"/>
      <c r="G108" s="93">
        <v>59</v>
      </c>
      <c r="H108"/>
      <c r="I108" s="88"/>
      <c r="J108" s="175"/>
      <c r="K108" s="175"/>
      <c r="L108" s="175"/>
      <c r="M108" s="175"/>
      <c r="N108" s="175"/>
      <c r="O108" s="175"/>
      <c r="P108" s="175"/>
      <c r="Q108" s="175"/>
      <c r="R108" s="175"/>
      <c r="S108" s="175"/>
      <c r="T108" s="175"/>
    </row>
    <row r="109" spans="1:20" ht="15" customHeight="1" x14ac:dyDescent="0.25">
      <c r="A109" s="104" t="s">
        <v>253</v>
      </c>
      <c r="B109" s="105"/>
      <c r="C109" s="105">
        <v>5000</v>
      </c>
      <c r="D109" s="92"/>
      <c r="E109" s="93">
        <v>17</v>
      </c>
      <c r="F109" s="92"/>
      <c r="G109" s="93">
        <v>45</v>
      </c>
      <c r="H109" s="85"/>
      <c r="I109" s="90"/>
      <c r="J109" s="175"/>
      <c r="K109" s="175"/>
      <c r="L109" s="175"/>
      <c r="M109" s="175"/>
      <c r="N109" s="175"/>
      <c r="O109" s="175"/>
      <c r="P109" s="175"/>
      <c r="Q109" s="175"/>
      <c r="R109" s="175"/>
      <c r="S109" s="175"/>
      <c r="T109" s="175"/>
    </row>
    <row r="110" spans="1:20" ht="15" customHeight="1" x14ac:dyDescent="0.25">
      <c r="A110"/>
      <c r="B110"/>
      <c r="C110"/>
      <c r="D110"/>
      <c r="E110"/>
      <c r="F110"/>
      <c r="G110"/>
      <c r="H110"/>
      <c r="I110"/>
      <c r="J110"/>
    </row>
    <row r="111" spans="1:20" ht="15" customHeight="1" x14ac:dyDescent="0.25">
      <c r="A111"/>
      <c r="B111"/>
      <c r="C111"/>
      <c r="D111"/>
      <c r="E111"/>
      <c r="F111"/>
      <c r="G111"/>
      <c r="H111"/>
      <c r="I111"/>
      <c r="J111"/>
    </row>
    <row r="112" spans="1:20" ht="15" customHeight="1" x14ac:dyDescent="0.25">
      <c r="A112" s="95"/>
      <c r="B112" s="177" t="s">
        <v>206</v>
      </c>
      <c r="C112" s="177"/>
      <c r="D112" s="95"/>
      <c r="E112" s="95"/>
      <c r="F112" s="95"/>
      <c r="G112" s="95"/>
      <c r="H112" s="95"/>
      <c r="I112" s="35"/>
      <c r="J112" s="175" t="s">
        <v>254</v>
      </c>
      <c r="K112" s="175"/>
      <c r="L112" s="175"/>
      <c r="M112" s="175"/>
      <c r="N112" s="175"/>
      <c r="O112" s="175"/>
      <c r="P112" s="175"/>
      <c r="Q112" s="175"/>
      <c r="R112" s="175"/>
      <c r="S112" s="175"/>
      <c r="T112" s="175"/>
    </row>
    <row r="113" spans="1:1024" ht="15" customHeight="1" x14ac:dyDescent="0.25">
      <c r="A113"/>
      <c r="B113" s="22" t="s">
        <v>186</v>
      </c>
      <c r="C113" s="22" t="s">
        <v>187</v>
      </c>
      <c r="D113"/>
      <c r="E113"/>
      <c r="F113"/>
      <c r="G113"/>
      <c r="H113"/>
      <c r="I113" s="88"/>
      <c r="J113" s="175"/>
      <c r="K113" s="175"/>
      <c r="L113" s="175"/>
      <c r="M113" s="175"/>
      <c r="N113" s="175"/>
      <c r="O113" s="175"/>
      <c r="P113" s="175"/>
      <c r="Q113" s="175"/>
      <c r="R113" s="175"/>
      <c r="S113" s="175"/>
      <c r="T113" s="175"/>
    </row>
    <row r="114" spans="1:1024" ht="15" customHeight="1" x14ac:dyDescent="0.25">
      <c r="A114"/>
      <c r="B114" s="97" t="s">
        <v>189</v>
      </c>
      <c r="C114" s="97" t="s">
        <v>16</v>
      </c>
      <c r="D114"/>
      <c r="E114"/>
      <c r="F114"/>
      <c r="G114"/>
      <c r="H114"/>
      <c r="I114" s="88"/>
      <c r="J114" s="175"/>
      <c r="K114" s="175"/>
      <c r="L114" s="175"/>
      <c r="M114" s="175"/>
      <c r="N114" s="175"/>
      <c r="O114" s="175"/>
      <c r="P114" s="175"/>
      <c r="Q114" s="175"/>
      <c r="R114" s="175"/>
      <c r="S114" s="175"/>
      <c r="T114" s="175"/>
    </row>
    <row r="115" spans="1:1024" ht="15" customHeight="1" x14ac:dyDescent="0.25">
      <c r="A115"/>
      <c r="B115" s="178" t="s">
        <v>255</v>
      </c>
      <c r="C115" s="178"/>
      <c r="D115"/>
      <c r="E115"/>
      <c r="F115"/>
      <c r="G115"/>
      <c r="H115"/>
      <c r="I115" s="88"/>
      <c r="J115" s="175"/>
      <c r="K115" s="175"/>
      <c r="L115" s="175"/>
      <c r="M115" s="175"/>
      <c r="N115" s="175"/>
      <c r="O115" s="175"/>
      <c r="P115" s="175"/>
      <c r="Q115" s="175"/>
      <c r="R115" s="175"/>
      <c r="S115" s="175"/>
      <c r="T115" s="175"/>
    </row>
    <row r="116" spans="1:1024" ht="15" customHeight="1" x14ac:dyDescent="0.25">
      <c r="A116"/>
      <c r="B116"/>
      <c r="C116"/>
      <c r="D116"/>
      <c r="E116"/>
      <c r="F116"/>
      <c r="G116"/>
      <c r="H116"/>
      <c r="I116" s="88"/>
      <c r="J116" s="175"/>
      <c r="K116" s="175"/>
      <c r="L116" s="175"/>
      <c r="M116" s="175"/>
      <c r="N116" s="175"/>
      <c r="O116" s="175"/>
      <c r="P116" s="175"/>
      <c r="Q116" s="175"/>
      <c r="R116" s="175"/>
      <c r="S116" s="175"/>
      <c r="T116" s="175"/>
    </row>
    <row r="117" spans="1:1024" ht="15" customHeight="1" x14ac:dyDescent="0.25">
      <c r="A117" s="83" t="s">
        <v>136</v>
      </c>
      <c r="B117" s="173" t="s">
        <v>256</v>
      </c>
      <c r="C117" s="173"/>
      <c r="D117" s="173"/>
      <c r="E117"/>
      <c r="F117"/>
      <c r="G117"/>
      <c r="H117"/>
      <c r="I117" s="88"/>
      <c r="J117" s="175"/>
      <c r="K117" s="175"/>
      <c r="L117" s="175"/>
      <c r="M117" s="175"/>
      <c r="N117" s="175"/>
      <c r="O117" s="175"/>
      <c r="P117" s="175"/>
      <c r="Q117" s="175"/>
      <c r="R117" s="175"/>
      <c r="S117" s="175"/>
      <c r="T117" s="175"/>
    </row>
    <row r="118" spans="1:1024" ht="15" customHeight="1" x14ac:dyDescent="0.25">
      <c r="A118" s="91" t="str">
        <f>Eingabe!F74</f>
        <v>Solar für WW, Einzelmaßnahme</v>
      </c>
      <c r="B118" s="86">
        <v>920.64</v>
      </c>
      <c r="C118" s="22">
        <v>-0.106</v>
      </c>
      <c r="D118" s="92"/>
      <c r="E118" s="92"/>
      <c r="F118" s="92"/>
      <c r="G118" s="92"/>
      <c r="H118" s="106"/>
      <c r="I118" s="93"/>
      <c r="J118" s="175"/>
      <c r="K118" s="175"/>
      <c r="L118" s="175"/>
      <c r="M118" s="175"/>
      <c r="N118" s="175"/>
      <c r="O118" s="175"/>
      <c r="P118" s="175"/>
      <c r="Q118" s="175"/>
      <c r="R118" s="175"/>
      <c r="S118" s="175"/>
      <c r="T118" s="175"/>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c r="HM118"/>
      <c r="HN118"/>
      <c r="HO118"/>
      <c r="HP118"/>
      <c r="HQ118"/>
      <c r="HR118"/>
      <c r="HS118"/>
      <c r="HT118"/>
      <c r="HU118"/>
      <c r="HV118"/>
      <c r="HW118"/>
      <c r="HX118"/>
      <c r="HY118"/>
      <c r="HZ118"/>
      <c r="IA118"/>
      <c r="IB118"/>
      <c r="IC118"/>
      <c r="ID118"/>
      <c r="IE118"/>
      <c r="IF118"/>
      <c r="IG118"/>
      <c r="IH118"/>
      <c r="II118"/>
      <c r="IJ118"/>
      <c r="IK118"/>
      <c r="IL118"/>
      <c r="IM118"/>
      <c r="IN118"/>
      <c r="IO118"/>
      <c r="IP118"/>
      <c r="IQ118"/>
      <c r="IR118"/>
      <c r="IS118"/>
      <c r="IT118"/>
      <c r="IU118"/>
      <c r="IV118"/>
      <c r="IW118"/>
      <c r="IX118"/>
      <c r="IY118"/>
      <c r="IZ118"/>
      <c r="JA118"/>
      <c r="JB118"/>
      <c r="JC118"/>
      <c r="JD118"/>
      <c r="JE118"/>
      <c r="JF118"/>
      <c r="JG118"/>
      <c r="JH118"/>
      <c r="JI118"/>
      <c r="JJ118"/>
      <c r="JK118"/>
      <c r="JL118"/>
      <c r="JM118"/>
      <c r="JN118"/>
      <c r="JO118"/>
      <c r="JP118"/>
      <c r="JQ118"/>
      <c r="JR118"/>
      <c r="JS118"/>
      <c r="JT118"/>
      <c r="JU118"/>
      <c r="JV118"/>
      <c r="JW118"/>
      <c r="JX118"/>
      <c r="JY118"/>
      <c r="JZ118"/>
      <c r="KA118"/>
      <c r="KB118"/>
      <c r="KC118"/>
      <c r="KD118"/>
      <c r="KE118"/>
      <c r="KF118"/>
      <c r="KG118"/>
      <c r="KH118"/>
      <c r="KI118"/>
      <c r="KJ118"/>
      <c r="KK118"/>
      <c r="KL118"/>
      <c r="KM118"/>
      <c r="KN118"/>
      <c r="KO118"/>
      <c r="KP118"/>
      <c r="KQ118"/>
      <c r="KR118"/>
      <c r="KS118"/>
      <c r="KT118"/>
      <c r="KU118"/>
      <c r="KV118"/>
      <c r="KW118"/>
      <c r="KX118"/>
      <c r="KY118"/>
      <c r="KZ118"/>
      <c r="LA118"/>
      <c r="LB118"/>
      <c r="LC118"/>
      <c r="LD118"/>
      <c r="LE118"/>
      <c r="LF118"/>
      <c r="LG118"/>
      <c r="LH118"/>
      <c r="LI118"/>
      <c r="LJ118"/>
      <c r="LK118"/>
      <c r="LL118"/>
      <c r="LM118"/>
      <c r="LN118"/>
      <c r="LO118"/>
      <c r="LP118"/>
      <c r="LQ118"/>
      <c r="LR118"/>
      <c r="LS118"/>
      <c r="LT118"/>
      <c r="LU118"/>
      <c r="LV118"/>
      <c r="LW118"/>
      <c r="LX118"/>
      <c r="LY118"/>
      <c r="LZ118"/>
      <c r="MA118"/>
      <c r="MB118"/>
      <c r="MC118"/>
      <c r="MD118"/>
      <c r="ME118"/>
      <c r="MF118"/>
      <c r="MG118"/>
      <c r="MH118"/>
      <c r="MI118"/>
      <c r="MJ118"/>
      <c r="MK118"/>
      <c r="ML118"/>
      <c r="MM118"/>
      <c r="MN118"/>
      <c r="MO118"/>
      <c r="MP118"/>
      <c r="MQ118"/>
      <c r="MR118"/>
      <c r="MS118"/>
      <c r="MT118"/>
      <c r="MU118"/>
      <c r="MV118"/>
      <c r="MW118"/>
      <c r="MX118"/>
      <c r="MY118"/>
      <c r="MZ118"/>
      <c r="NA118"/>
      <c r="NB118"/>
      <c r="NC118"/>
      <c r="ND118"/>
      <c r="NE118"/>
      <c r="NF118"/>
      <c r="NG118"/>
      <c r="NH118"/>
      <c r="NI118"/>
      <c r="NJ118"/>
      <c r="NK118"/>
      <c r="NL118"/>
      <c r="NM118"/>
      <c r="NN118"/>
      <c r="NO118"/>
      <c r="NP118"/>
      <c r="NQ118"/>
      <c r="NR118"/>
      <c r="NS118"/>
      <c r="NT118"/>
      <c r="NU118"/>
      <c r="NV118"/>
      <c r="NW118"/>
      <c r="NX118"/>
      <c r="NY118"/>
      <c r="NZ118"/>
      <c r="OA118"/>
      <c r="OB118"/>
      <c r="OC118"/>
      <c r="OD118"/>
      <c r="OE118"/>
      <c r="OF118"/>
      <c r="OG118"/>
      <c r="OH118"/>
      <c r="OI118"/>
      <c r="OJ118"/>
      <c r="OK118"/>
      <c r="OL118"/>
      <c r="OM118"/>
      <c r="ON118"/>
      <c r="OO118"/>
      <c r="OP118"/>
      <c r="OQ118"/>
      <c r="OR118"/>
      <c r="OS118"/>
      <c r="OT118"/>
      <c r="OU118"/>
      <c r="OV118"/>
      <c r="OW118"/>
      <c r="OX118"/>
      <c r="OY118"/>
      <c r="OZ118"/>
      <c r="PA118"/>
      <c r="PB118"/>
      <c r="PC118"/>
      <c r="PD118"/>
      <c r="PE118"/>
      <c r="PF118"/>
      <c r="PG118"/>
      <c r="PH118"/>
      <c r="PI118"/>
      <c r="PJ118"/>
      <c r="PK118"/>
      <c r="PL118"/>
      <c r="PM118"/>
      <c r="PN118"/>
      <c r="PO118"/>
      <c r="PP118"/>
      <c r="PQ118"/>
      <c r="PR118"/>
      <c r="PS118"/>
      <c r="PT118"/>
      <c r="PU118"/>
      <c r="PV118"/>
      <c r="PW118"/>
      <c r="PX118"/>
      <c r="PY118"/>
      <c r="PZ118"/>
      <c r="QA118"/>
      <c r="QB118"/>
      <c r="QC118"/>
      <c r="QD118"/>
      <c r="QE118"/>
      <c r="QF118"/>
      <c r="QG118"/>
      <c r="QH118"/>
      <c r="QI118"/>
      <c r="QJ118"/>
      <c r="QK118"/>
      <c r="QL118"/>
      <c r="QM118"/>
      <c r="QN118"/>
      <c r="QO118"/>
      <c r="QP118"/>
      <c r="QQ118"/>
      <c r="QR118"/>
      <c r="QS118"/>
      <c r="QT118"/>
      <c r="QU118"/>
      <c r="QV118"/>
      <c r="QW118"/>
      <c r="QX118"/>
      <c r="QY118"/>
      <c r="QZ118"/>
      <c r="RA118"/>
      <c r="RB118"/>
      <c r="RC118"/>
      <c r="RD118"/>
      <c r="RE118"/>
      <c r="RF118"/>
      <c r="RG118"/>
      <c r="RH118"/>
      <c r="RI118"/>
      <c r="RJ118"/>
      <c r="RK118"/>
      <c r="RL118"/>
      <c r="RM118"/>
      <c r="RN118"/>
      <c r="RO118"/>
      <c r="RP118"/>
      <c r="RQ118"/>
      <c r="RR118"/>
      <c r="RS118"/>
      <c r="RT118"/>
      <c r="RU118"/>
      <c r="RV118"/>
      <c r="RW118"/>
      <c r="RX118"/>
      <c r="RY118"/>
      <c r="RZ118"/>
      <c r="SA118"/>
      <c r="SB118"/>
      <c r="SC118"/>
      <c r="SD118"/>
      <c r="SE118"/>
      <c r="SF118"/>
      <c r="SG118"/>
      <c r="SH118"/>
      <c r="SI118"/>
      <c r="SJ118"/>
      <c r="SK118"/>
      <c r="SL118"/>
      <c r="SM118"/>
      <c r="SN118"/>
      <c r="SO118"/>
      <c r="SP118"/>
      <c r="SQ118"/>
      <c r="SR118"/>
      <c r="SS118"/>
      <c r="ST118"/>
      <c r="SU118"/>
      <c r="SV118"/>
      <c r="SW118"/>
      <c r="SX118"/>
      <c r="SY118"/>
      <c r="SZ118"/>
      <c r="TA118"/>
      <c r="TB118"/>
      <c r="TC118"/>
      <c r="TD118"/>
      <c r="TE118"/>
      <c r="TF118"/>
      <c r="TG118"/>
      <c r="TH118"/>
      <c r="TI118"/>
      <c r="TJ118"/>
      <c r="TK118"/>
      <c r="TL118"/>
      <c r="TM118"/>
      <c r="TN118"/>
      <c r="TO118"/>
      <c r="TP118"/>
      <c r="TQ118"/>
      <c r="TR118"/>
      <c r="TS118"/>
      <c r="TT118"/>
      <c r="TU118"/>
      <c r="TV118"/>
      <c r="TW118"/>
      <c r="TX118"/>
      <c r="TY118"/>
      <c r="TZ118"/>
      <c r="UA118"/>
      <c r="UB118"/>
      <c r="UC118"/>
      <c r="UD118"/>
      <c r="UE118"/>
      <c r="UF118"/>
      <c r="UG118"/>
      <c r="UH118"/>
      <c r="UI118"/>
      <c r="UJ118"/>
      <c r="UK118"/>
      <c r="UL118"/>
      <c r="UM118"/>
      <c r="UN118"/>
      <c r="UO118"/>
      <c r="UP118"/>
      <c r="UQ118"/>
      <c r="UR118"/>
      <c r="US118"/>
      <c r="UT118"/>
      <c r="UU118"/>
      <c r="UV118"/>
      <c r="UW118"/>
      <c r="UX118"/>
      <c r="UY118"/>
      <c r="UZ118"/>
      <c r="VA118"/>
      <c r="VB118"/>
      <c r="VC118"/>
      <c r="VD118"/>
      <c r="VE118"/>
      <c r="VF118"/>
      <c r="VG118"/>
      <c r="VH118"/>
      <c r="VI118"/>
      <c r="VJ118"/>
      <c r="VK118"/>
      <c r="VL118"/>
      <c r="VM118"/>
      <c r="VN118"/>
      <c r="VO118"/>
      <c r="VP118"/>
      <c r="VQ118"/>
      <c r="VR118"/>
      <c r="VS118"/>
      <c r="VT118"/>
      <c r="VU118"/>
      <c r="VV118"/>
      <c r="VW118"/>
      <c r="VX118"/>
      <c r="VY118"/>
      <c r="VZ118"/>
      <c r="WA118"/>
      <c r="WB118"/>
      <c r="WC118"/>
      <c r="WD118"/>
      <c r="WE118"/>
      <c r="WF118"/>
      <c r="WG118"/>
      <c r="WH118"/>
      <c r="WI118"/>
      <c r="WJ118"/>
      <c r="WK118"/>
      <c r="WL118"/>
      <c r="WM118"/>
      <c r="WN118"/>
      <c r="WO118"/>
      <c r="WP118"/>
      <c r="WQ118"/>
      <c r="WR118"/>
      <c r="WS118"/>
      <c r="WT118"/>
      <c r="WU118"/>
      <c r="WV118"/>
      <c r="WW118"/>
      <c r="WX118"/>
      <c r="WY118"/>
      <c r="WZ118"/>
      <c r="XA118"/>
      <c r="XB118"/>
      <c r="XC118"/>
      <c r="XD118"/>
      <c r="XE118"/>
      <c r="XF118"/>
      <c r="XG118"/>
      <c r="XH118"/>
      <c r="XI118"/>
      <c r="XJ118"/>
      <c r="XK118"/>
      <c r="XL118"/>
      <c r="XM118"/>
      <c r="XN118"/>
      <c r="XO118"/>
      <c r="XP118"/>
      <c r="XQ118"/>
      <c r="XR118"/>
      <c r="XS118"/>
      <c r="XT118"/>
      <c r="XU118"/>
      <c r="XV118"/>
      <c r="XW118"/>
      <c r="XX118"/>
      <c r="XY118"/>
      <c r="XZ118"/>
      <c r="YA118"/>
      <c r="YB118"/>
      <c r="YC118"/>
      <c r="YD118"/>
      <c r="YE118"/>
      <c r="YF118"/>
      <c r="YG118"/>
      <c r="YH118"/>
      <c r="YI118"/>
      <c r="YJ118"/>
      <c r="YK118"/>
      <c r="YL118"/>
      <c r="YM118"/>
      <c r="YN118"/>
      <c r="YO118"/>
      <c r="YP118"/>
      <c r="YQ118"/>
      <c r="YR118"/>
      <c r="YS118"/>
      <c r="YT118"/>
      <c r="YU118"/>
      <c r="YV118"/>
      <c r="YW118"/>
      <c r="YX118"/>
      <c r="YY118"/>
      <c r="YZ118"/>
      <c r="ZA118"/>
      <c r="ZB118"/>
      <c r="ZC118"/>
      <c r="ZD118"/>
      <c r="ZE118"/>
      <c r="ZF118"/>
      <c r="ZG118"/>
      <c r="ZH118"/>
      <c r="ZI118"/>
      <c r="ZJ118"/>
      <c r="ZK118"/>
      <c r="ZL118"/>
      <c r="ZM118"/>
      <c r="ZN118"/>
      <c r="ZO118"/>
      <c r="ZP118"/>
      <c r="ZQ118"/>
      <c r="ZR118"/>
      <c r="ZS118"/>
      <c r="ZT118"/>
      <c r="ZU118"/>
      <c r="ZV118"/>
      <c r="ZW118"/>
      <c r="ZX118"/>
      <c r="ZY118"/>
      <c r="ZZ118"/>
      <c r="AAA118"/>
      <c r="AAB118"/>
      <c r="AAC118"/>
      <c r="AAD118"/>
      <c r="AAE118"/>
      <c r="AAF118"/>
      <c r="AAG118"/>
      <c r="AAH118"/>
      <c r="AAI118"/>
      <c r="AAJ118"/>
      <c r="AAK118"/>
      <c r="AAL118"/>
      <c r="AAM118"/>
      <c r="AAN118"/>
      <c r="AAO118"/>
      <c r="AAP118"/>
      <c r="AAQ118"/>
      <c r="AAR118"/>
      <c r="AAS118"/>
      <c r="AAT118"/>
      <c r="AAU118"/>
      <c r="AAV118"/>
      <c r="AAW118"/>
      <c r="AAX118"/>
      <c r="AAY118"/>
      <c r="AAZ118"/>
      <c r="ABA118"/>
      <c r="ABB118"/>
      <c r="ABC118"/>
      <c r="ABD118"/>
      <c r="ABE118"/>
      <c r="ABF118"/>
      <c r="ABG118"/>
      <c r="ABH118"/>
      <c r="ABI118"/>
      <c r="ABJ118"/>
      <c r="ABK118"/>
      <c r="ABL118"/>
      <c r="ABM118"/>
      <c r="ABN118"/>
      <c r="ABO118"/>
      <c r="ABP118"/>
      <c r="ABQ118"/>
      <c r="ABR118"/>
      <c r="ABS118"/>
      <c r="ABT118"/>
      <c r="ABU118"/>
      <c r="ABV118"/>
      <c r="ABW118"/>
      <c r="ABX118"/>
      <c r="ABY118"/>
      <c r="ABZ118"/>
      <c r="ACA118"/>
      <c r="ACB118"/>
      <c r="ACC118"/>
      <c r="ACD118"/>
      <c r="ACE118"/>
      <c r="ACF118"/>
      <c r="ACG118"/>
      <c r="ACH118"/>
      <c r="ACI118"/>
      <c r="ACJ118"/>
      <c r="ACK118"/>
      <c r="ACL118"/>
      <c r="ACM118"/>
      <c r="ACN118"/>
      <c r="ACO118"/>
      <c r="ACP118"/>
      <c r="ACQ118"/>
      <c r="ACR118"/>
      <c r="ACS118"/>
      <c r="ACT118"/>
      <c r="ACU118"/>
      <c r="ACV118"/>
      <c r="ACW118"/>
      <c r="ACX118"/>
      <c r="ACY118"/>
      <c r="ACZ118"/>
      <c r="ADA118"/>
      <c r="ADB118"/>
      <c r="ADC118"/>
      <c r="ADD118"/>
      <c r="ADE118"/>
      <c r="ADF118"/>
      <c r="ADG118"/>
      <c r="ADH118"/>
      <c r="ADI118"/>
      <c r="ADJ118"/>
      <c r="ADK118"/>
      <c r="ADL118"/>
      <c r="ADM118"/>
      <c r="ADN118"/>
      <c r="ADO118"/>
      <c r="ADP118"/>
      <c r="ADQ118"/>
      <c r="ADR118"/>
      <c r="ADS118"/>
      <c r="ADT118"/>
      <c r="ADU118"/>
      <c r="ADV118"/>
      <c r="ADW118"/>
      <c r="ADX118"/>
      <c r="ADY118"/>
      <c r="ADZ118"/>
      <c r="AEA118"/>
      <c r="AEB118"/>
      <c r="AEC118"/>
      <c r="AED118"/>
      <c r="AEE118"/>
      <c r="AEF118"/>
      <c r="AEG118"/>
      <c r="AEH118"/>
      <c r="AEI118"/>
      <c r="AEJ118"/>
      <c r="AEK118"/>
      <c r="AEL118"/>
      <c r="AEM118"/>
      <c r="AEN118"/>
      <c r="AEO118"/>
      <c r="AEP118"/>
      <c r="AEQ118"/>
      <c r="AER118"/>
      <c r="AES118"/>
      <c r="AET118"/>
      <c r="AEU118"/>
      <c r="AEV118"/>
      <c r="AEW118"/>
      <c r="AEX118"/>
      <c r="AEY118"/>
      <c r="AEZ118"/>
      <c r="AFA118"/>
      <c r="AFB118"/>
      <c r="AFC118"/>
      <c r="AFD118"/>
      <c r="AFE118"/>
      <c r="AFF118"/>
      <c r="AFG118"/>
      <c r="AFH118"/>
      <c r="AFI118"/>
      <c r="AFJ118"/>
      <c r="AFK118"/>
      <c r="AFL118"/>
      <c r="AFM118"/>
      <c r="AFN118"/>
      <c r="AFO118"/>
      <c r="AFP118"/>
      <c r="AFQ118"/>
      <c r="AFR118"/>
      <c r="AFS118"/>
      <c r="AFT118"/>
      <c r="AFU118"/>
      <c r="AFV118"/>
      <c r="AFW118"/>
      <c r="AFX118"/>
      <c r="AFY118"/>
      <c r="AFZ118"/>
      <c r="AGA118"/>
      <c r="AGB118"/>
      <c r="AGC118"/>
      <c r="AGD118"/>
      <c r="AGE118"/>
      <c r="AGF118"/>
      <c r="AGG118"/>
      <c r="AGH118"/>
      <c r="AGI118"/>
      <c r="AGJ118"/>
      <c r="AGK118"/>
      <c r="AGL118"/>
      <c r="AGM118"/>
      <c r="AGN118"/>
      <c r="AGO118"/>
      <c r="AGP118"/>
      <c r="AGQ118"/>
      <c r="AGR118"/>
      <c r="AGS118"/>
      <c r="AGT118"/>
      <c r="AGU118"/>
      <c r="AGV118"/>
      <c r="AGW118"/>
      <c r="AGX118"/>
      <c r="AGY118"/>
      <c r="AGZ118"/>
      <c r="AHA118"/>
      <c r="AHB118"/>
      <c r="AHC118"/>
      <c r="AHD118"/>
      <c r="AHE118"/>
      <c r="AHF118"/>
      <c r="AHG118"/>
      <c r="AHH118"/>
      <c r="AHI118"/>
      <c r="AHJ118"/>
      <c r="AHK118"/>
      <c r="AHL118"/>
      <c r="AHM118"/>
      <c r="AHN118"/>
      <c r="AHO118"/>
      <c r="AHP118"/>
      <c r="AHQ118"/>
      <c r="AHR118"/>
      <c r="AHS118"/>
      <c r="AHT118"/>
      <c r="AHU118"/>
      <c r="AHV118"/>
      <c r="AHW118"/>
      <c r="AHX118"/>
      <c r="AHY118"/>
      <c r="AHZ118"/>
      <c r="AIA118"/>
      <c r="AIB118"/>
      <c r="AIC118"/>
      <c r="AID118"/>
      <c r="AIE118"/>
      <c r="AIF118"/>
      <c r="AIG118"/>
      <c r="AIH118"/>
      <c r="AII118"/>
      <c r="AIJ118"/>
      <c r="AIK118"/>
      <c r="AIL118"/>
      <c r="AIM118"/>
      <c r="AIN118"/>
      <c r="AIO118"/>
      <c r="AIP118"/>
      <c r="AIQ118"/>
      <c r="AIR118"/>
      <c r="AIS118"/>
      <c r="AIT118"/>
      <c r="AIU118"/>
      <c r="AIV118"/>
      <c r="AIW118"/>
      <c r="AIX118"/>
      <c r="AIY118"/>
      <c r="AIZ118"/>
      <c r="AJA118"/>
      <c r="AJB118"/>
      <c r="AJC118"/>
      <c r="AJD118"/>
      <c r="AJE118"/>
      <c r="AJF118"/>
      <c r="AJG118"/>
      <c r="AJH118"/>
      <c r="AJI118"/>
      <c r="AJJ118"/>
      <c r="AJK118"/>
      <c r="AJL118"/>
      <c r="AJM118"/>
      <c r="AJN118"/>
      <c r="AJO118"/>
      <c r="AJP118"/>
      <c r="AJQ118"/>
      <c r="AJR118"/>
      <c r="AJS118"/>
      <c r="AJT118"/>
      <c r="AJU118"/>
      <c r="AJV118"/>
      <c r="AJW118"/>
      <c r="AJX118"/>
      <c r="AJY118"/>
      <c r="AJZ118"/>
      <c r="AKA118"/>
      <c r="AKB118"/>
      <c r="AKC118"/>
      <c r="AKD118"/>
      <c r="AKE118"/>
      <c r="AKF118"/>
      <c r="AKG118"/>
      <c r="AKH118"/>
      <c r="AKI118"/>
      <c r="AKJ118"/>
      <c r="AKK118"/>
      <c r="AKL118"/>
      <c r="AKM118"/>
      <c r="AKN118"/>
      <c r="AKO118"/>
      <c r="AKP118"/>
      <c r="AKQ118"/>
      <c r="AKR118"/>
      <c r="AKS118"/>
      <c r="AKT118"/>
      <c r="AKU118"/>
      <c r="AKV118"/>
      <c r="AKW118"/>
      <c r="AKX118"/>
      <c r="AKY118"/>
      <c r="AKZ118"/>
      <c r="ALA118"/>
      <c r="ALB118"/>
      <c r="ALC118"/>
      <c r="ALD118"/>
      <c r="ALE118"/>
      <c r="ALF118"/>
      <c r="ALG118"/>
      <c r="ALH118"/>
      <c r="ALI118"/>
      <c r="ALJ118"/>
      <c r="ALK118"/>
      <c r="ALL118"/>
      <c r="ALM118"/>
      <c r="ALN118"/>
      <c r="ALO118"/>
      <c r="ALP118"/>
      <c r="ALQ118"/>
      <c r="ALR118"/>
      <c r="ALS118"/>
      <c r="ALT118"/>
      <c r="ALU118"/>
      <c r="ALV118"/>
      <c r="ALW118"/>
      <c r="ALX118"/>
      <c r="ALY118"/>
      <c r="ALZ118"/>
      <c r="AMA118"/>
      <c r="AMB118"/>
      <c r="AMC118"/>
      <c r="AMD118"/>
      <c r="AME118"/>
      <c r="AMF118"/>
      <c r="AMG118"/>
      <c r="AMH118"/>
      <c r="AMI118"/>
      <c r="AMJ118"/>
    </row>
    <row r="119" spans="1:1024" ht="15" customHeight="1" x14ac:dyDescent="0.25">
      <c r="A119" s="91" t="str">
        <f>Eingabe!F78</f>
        <v>Solar für WW&amp;H, Einzelmaßnahme</v>
      </c>
      <c r="B119" s="86">
        <v>677.29</v>
      </c>
      <c r="C119" s="22">
        <v>-1.4999999999999999E-2</v>
      </c>
      <c r="D119" s="92"/>
      <c r="E119" s="92"/>
      <c r="F119" s="92"/>
      <c r="G119" s="92"/>
      <c r="H119" s="106"/>
      <c r="I119" s="93"/>
      <c r="J119" s="175"/>
      <c r="K119" s="175"/>
      <c r="L119" s="175"/>
      <c r="M119" s="175"/>
      <c r="N119" s="175"/>
      <c r="O119" s="175"/>
      <c r="P119" s="175"/>
      <c r="Q119" s="175"/>
      <c r="R119" s="175"/>
      <c r="S119" s="175"/>
      <c r="T119" s="175"/>
    </row>
    <row r="120" spans="1:1024" ht="15" customHeight="1" x14ac:dyDescent="0.25">
      <c r="A120" s="91" t="s">
        <v>257</v>
      </c>
      <c r="B120" s="180" t="s">
        <v>258</v>
      </c>
      <c r="C120" s="180"/>
      <c r="D120" s="107">
        <v>0.1</v>
      </c>
      <c r="E120" s="106" t="s">
        <v>259</v>
      </c>
      <c r="F120" s="92"/>
      <c r="G120" s="92"/>
      <c r="H120" s="106"/>
      <c r="I120" s="93"/>
      <c r="J120" s="175" t="s">
        <v>260</v>
      </c>
      <c r="K120" s="175"/>
      <c r="L120" s="175"/>
      <c r="M120" s="175"/>
      <c r="N120" s="175"/>
      <c r="O120" s="175"/>
      <c r="P120" s="175"/>
      <c r="Q120" s="175"/>
      <c r="R120" s="175"/>
      <c r="S120" s="175"/>
      <c r="T120" s="175"/>
    </row>
    <row r="121" spans="1:1024" ht="15" customHeight="1" x14ac:dyDescent="0.25">
      <c r="A121" s="91" t="s">
        <v>261</v>
      </c>
      <c r="B121" s="180" t="s">
        <v>258</v>
      </c>
      <c r="C121" s="180"/>
      <c r="D121" s="108">
        <v>0.1</v>
      </c>
      <c r="E121" s="106" t="s">
        <v>259</v>
      </c>
      <c r="F121" s="92"/>
      <c r="G121" s="92"/>
      <c r="H121" s="106"/>
      <c r="I121" s="93"/>
      <c r="J121" s="175"/>
      <c r="K121" s="175"/>
      <c r="L121" s="175"/>
      <c r="M121" s="175"/>
      <c r="N121" s="175"/>
      <c r="O121" s="175"/>
      <c r="P121" s="175"/>
      <c r="Q121" s="175"/>
      <c r="R121" s="175"/>
      <c r="S121" s="175"/>
      <c r="T121" s="175"/>
    </row>
    <row r="122" spans="1:1024" ht="15" customHeight="1" x14ac:dyDescent="0.25">
      <c r="A122"/>
      <c r="B122" s="13"/>
      <c r="C122" s="13"/>
      <c r="D122" s="109"/>
      <c r="E122" s="87"/>
      <c r="F122"/>
      <c r="G122"/>
      <c r="H122" s="87"/>
      <c r="I122"/>
      <c r="J122"/>
    </row>
    <row r="123" spans="1:1024" ht="15" customHeight="1" x14ac:dyDescent="0.25">
      <c r="A123"/>
      <c r="B123" s="13"/>
      <c r="C123" s="13"/>
      <c r="D123" s="109"/>
      <c r="E123" s="87"/>
      <c r="F123"/>
      <c r="G123"/>
      <c r="H123" s="87"/>
      <c r="I123"/>
      <c r="J123"/>
    </row>
    <row r="124" spans="1:1024" ht="15" customHeight="1" x14ac:dyDescent="0.25">
      <c r="A124" s="66"/>
      <c r="B124" s="177" t="s">
        <v>206</v>
      </c>
      <c r="C124" s="177"/>
      <c r="D124" s="110"/>
      <c r="E124" s="96"/>
      <c r="F124" s="95"/>
      <c r="G124" s="95"/>
      <c r="H124" s="96"/>
      <c r="I124" s="35"/>
      <c r="J124" s="175" t="s">
        <v>336</v>
      </c>
      <c r="K124" s="175"/>
      <c r="L124" s="175"/>
      <c r="M124" s="175"/>
      <c r="N124" s="175"/>
      <c r="O124" s="175"/>
      <c r="P124" s="175"/>
      <c r="Q124" s="175"/>
      <c r="R124" s="175"/>
      <c r="S124" s="175"/>
      <c r="T124" s="175"/>
    </row>
    <row r="125" spans="1:1024" ht="15" customHeight="1" x14ac:dyDescent="0.25">
      <c r="A125" s="70"/>
      <c r="B125" s="22" t="s">
        <v>186</v>
      </c>
      <c r="C125" s="22" t="s">
        <v>187</v>
      </c>
      <c r="D125" s="109"/>
      <c r="E125" s="87"/>
      <c r="F125"/>
      <c r="G125"/>
      <c r="H125" s="87"/>
      <c r="I125" s="88"/>
      <c r="J125" s="175"/>
      <c r="K125" s="175"/>
      <c r="L125" s="175"/>
      <c r="M125" s="175"/>
      <c r="N125" s="175"/>
      <c r="O125" s="175"/>
      <c r="P125" s="175"/>
      <c r="Q125" s="175"/>
      <c r="R125" s="175"/>
      <c r="S125" s="175"/>
      <c r="T125" s="175"/>
    </row>
    <row r="126" spans="1:1024" ht="19.899999999999999" customHeight="1" x14ac:dyDescent="0.25">
      <c r="A126" s="70"/>
      <c r="B126" s="178" t="s">
        <v>333</v>
      </c>
      <c r="C126" s="178"/>
      <c r="D126" s="109"/>
      <c r="E126" s="87"/>
      <c r="F126"/>
      <c r="G126"/>
      <c r="H126" s="87"/>
      <c r="I126" s="88"/>
      <c r="J126" s="175"/>
      <c r="K126" s="175"/>
      <c r="L126" s="175"/>
      <c r="M126" s="175"/>
      <c r="N126" s="175"/>
      <c r="O126" s="175"/>
      <c r="P126" s="175"/>
      <c r="Q126" s="175"/>
      <c r="R126" s="175"/>
      <c r="S126" s="175"/>
      <c r="T126" s="175"/>
    </row>
    <row r="127" spans="1:1024" ht="15" customHeight="1" x14ac:dyDescent="0.25">
      <c r="A127" s="70"/>
      <c r="B127" s="13"/>
      <c r="C127" s="13"/>
      <c r="D127" s="109"/>
      <c r="E127" s="87"/>
      <c r="F127"/>
      <c r="G127"/>
      <c r="H127" s="87"/>
      <c r="I127" s="88"/>
      <c r="J127" s="175"/>
      <c r="K127" s="175"/>
      <c r="L127" s="175"/>
      <c r="M127" s="175"/>
      <c r="N127" s="175"/>
      <c r="O127" s="175"/>
      <c r="P127" s="175"/>
      <c r="Q127" s="175"/>
      <c r="R127" s="175"/>
      <c r="S127" s="175"/>
      <c r="T127" s="175"/>
    </row>
    <row r="128" spans="1:1024" ht="15" customHeight="1" x14ac:dyDescent="0.25">
      <c r="A128" s="111" t="s">
        <v>152</v>
      </c>
      <c r="B128" s="13" t="s">
        <v>335</v>
      </c>
      <c r="C128" s="139" t="s">
        <v>329</v>
      </c>
      <c r="D128" s="109"/>
      <c r="E128" s="87"/>
      <c r="F128"/>
      <c r="G128"/>
      <c r="H128" s="153" t="s">
        <v>26</v>
      </c>
      <c r="I128" s="88"/>
      <c r="J128" s="175"/>
      <c r="K128" s="175"/>
      <c r="L128" s="175"/>
      <c r="M128" s="175"/>
      <c r="N128" s="175"/>
      <c r="O128" s="175"/>
      <c r="P128" s="175"/>
      <c r="Q128" s="175"/>
      <c r="R128" s="175"/>
      <c r="S128" s="175"/>
      <c r="T128" s="175"/>
    </row>
    <row r="129" spans="1:20" ht="15" customHeight="1" x14ac:dyDescent="0.25">
      <c r="A129" s="91" t="str">
        <f>Eingabe!F85</f>
        <v>PV-Anlage ohne Speicher</v>
      </c>
      <c r="B129" s="112">
        <v>3937.1</v>
      </c>
      <c r="C129" s="142">
        <v>-0.38900000000000001</v>
      </c>
      <c r="D129" s="95"/>
      <c r="E129" s="144"/>
      <c r="F129" s="144"/>
      <c r="G129" s="95"/>
      <c r="H129" s="154">
        <f>AVERAGE(0.961,0.99,0.99,0.958,0.998,0.989,0.987,0.962,0.936,0.969,1.022,1.035,1.088,1.052,1.018,1.012,1.004,1.052,1.013,1.018,1.04,1.086,1.064,1.017,1.039,1.03,1.009,1.001,1.049,1.048,1.088,1.008,1.044,1.03,1.015,1.039,1.041,1.092,1.073,1.166,1.117,1.127,1.108,1.102)</f>
        <v>1.0337954545454544</v>
      </c>
      <c r="I129" s="35"/>
      <c r="J129" s="175"/>
      <c r="K129" s="175"/>
      <c r="L129" s="175"/>
      <c r="M129" s="175"/>
      <c r="N129" s="175"/>
      <c r="O129" s="175"/>
      <c r="P129" s="175"/>
      <c r="Q129" s="175"/>
      <c r="R129" s="175"/>
      <c r="S129" s="175"/>
      <c r="T129" s="175"/>
    </row>
    <row r="130" spans="1:20" ht="15" customHeight="1" x14ac:dyDescent="0.25">
      <c r="A130" s="140" t="str">
        <f>Eingabe!F87</f>
        <v>Stromspeicher PV-Anlage</v>
      </c>
      <c r="B130" s="112">
        <v>1749.1</v>
      </c>
      <c r="C130" s="143">
        <v>-0.41799999999999998</v>
      </c>
      <c r="D130" s="91"/>
      <c r="E130" s="113"/>
      <c r="F130" s="113"/>
      <c r="G130" s="92"/>
      <c r="H130" s="92"/>
      <c r="I130" s="93"/>
      <c r="J130" s="175"/>
      <c r="K130" s="175"/>
      <c r="L130" s="175"/>
      <c r="M130" s="175"/>
      <c r="N130" s="175"/>
      <c r="O130" s="175"/>
      <c r="P130" s="175"/>
      <c r="Q130" s="175"/>
      <c r="R130" s="175"/>
      <c r="S130" s="175"/>
      <c r="T130" s="175"/>
    </row>
    <row r="131" spans="1:20" ht="15" customHeight="1" x14ac:dyDescent="0.25">
      <c r="A131"/>
      <c r="B131"/>
      <c r="C131"/>
      <c r="D131"/>
      <c r="E131"/>
      <c r="F131"/>
      <c r="G131"/>
      <c r="H131"/>
      <c r="I131"/>
      <c r="J131"/>
    </row>
    <row r="132" spans="1:20" ht="15" customHeight="1" x14ac:dyDescent="0.25">
      <c r="A132" s="83" t="s">
        <v>156</v>
      </c>
      <c r="B132" s="173" t="s">
        <v>208</v>
      </c>
      <c r="C132" s="173"/>
      <c r="D132"/>
      <c r="E132"/>
      <c r="F132"/>
      <c r="G132"/>
      <c r="H132"/>
      <c r="I132"/>
      <c r="J132"/>
    </row>
    <row r="133" spans="1:20" ht="15" customHeight="1" x14ac:dyDescent="0.25">
      <c r="A133" s="22" t="str">
        <f>Eingabe!F91</f>
        <v>Maßnahmen in der Heizungsperipherie</v>
      </c>
      <c r="B133" s="22" t="s">
        <v>54</v>
      </c>
      <c r="C133" s="22" t="s">
        <v>54</v>
      </c>
      <c r="D133" s="22">
        <v>673.94</v>
      </c>
      <c r="E133" s="22">
        <v>-0.53300000000000003</v>
      </c>
      <c r="F133" s="22">
        <v>221.73</v>
      </c>
      <c r="G133" s="22">
        <v>-0.53300000000000003</v>
      </c>
      <c r="H133" s="86">
        <v>2048.44</v>
      </c>
      <c r="I133" s="22">
        <v>-0.53300000000000003</v>
      </c>
      <c r="J133"/>
    </row>
    <row r="134" spans="1:20" ht="15" customHeight="1" x14ac:dyDescent="0.25">
      <c r="A134" s="22" t="str">
        <f>Eingabe!F93</f>
        <v>Hausanschluss Gas</v>
      </c>
      <c r="B134" s="22" t="s">
        <v>54</v>
      </c>
      <c r="C134" s="22" t="s">
        <v>54</v>
      </c>
      <c r="D134" s="22">
        <v>163.09</v>
      </c>
      <c r="E134" s="22">
        <v>-0.49</v>
      </c>
      <c r="F134" s="22">
        <v>39.92</v>
      </c>
      <c r="G134" s="22">
        <v>-0.49</v>
      </c>
      <c r="H134" s="22">
        <v>666.33</v>
      </c>
      <c r="I134" s="22">
        <v>-0.49</v>
      </c>
      <c r="J134"/>
    </row>
    <row r="135" spans="1:20" ht="15" customHeight="1" x14ac:dyDescent="0.25">
      <c r="A135" s="22" t="str">
        <f>Eingabe!F94</f>
        <v>Hausanschluss Fernwärme</v>
      </c>
      <c r="B135" s="22" t="s">
        <v>54</v>
      </c>
      <c r="C135" s="22" t="s">
        <v>54</v>
      </c>
      <c r="D135" s="22">
        <v>558.74</v>
      </c>
      <c r="E135" s="22">
        <v>-0.61399999999999999</v>
      </c>
      <c r="F135" s="22">
        <v>242.71</v>
      </c>
      <c r="G135" s="22">
        <v>-0.61399999999999999</v>
      </c>
      <c r="H135" s="86">
        <v>1286.28</v>
      </c>
      <c r="I135" s="22">
        <v>-0.61399999999999999</v>
      </c>
      <c r="J135"/>
    </row>
    <row r="136" spans="1:20" ht="15" customHeight="1" x14ac:dyDescent="0.25">
      <c r="A136" s="22"/>
      <c r="B136" s="22"/>
      <c r="C136" s="22"/>
      <c r="D136" s="22"/>
      <c r="E136" s="22"/>
      <c r="F136" s="22"/>
      <c r="G136" s="22"/>
      <c r="H136" s="86"/>
      <c r="I136" s="22"/>
      <c r="J136"/>
      <c r="K136"/>
    </row>
    <row r="137" spans="1:20" ht="15" customHeight="1" x14ac:dyDescent="0.25">
      <c r="A137" s="22"/>
      <c r="B137" s="22"/>
      <c r="C137" s="22"/>
      <c r="D137" s="22"/>
      <c r="E137" s="22"/>
      <c r="F137" s="22"/>
      <c r="G137" s="22"/>
      <c r="H137" s="86"/>
      <c r="I137" s="22"/>
      <c r="J137"/>
      <c r="K137" s="12" t="s">
        <v>262</v>
      </c>
      <c r="N137" s="12" t="s">
        <v>263</v>
      </c>
    </row>
    <row r="138" spans="1:20" ht="15" customHeight="1" x14ac:dyDescent="0.25">
      <c r="A138" t="s">
        <v>264</v>
      </c>
      <c r="B138" s="179" t="s">
        <v>265</v>
      </c>
      <c r="C138" s="179"/>
      <c r="D138"/>
      <c r="E138"/>
      <c r="F138"/>
      <c r="G138"/>
      <c r="H138" s="87"/>
      <c r="I138" s="88"/>
      <c r="J138"/>
      <c r="K138" s="12" t="s">
        <v>266</v>
      </c>
      <c r="L138" s="12" t="s">
        <v>267</v>
      </c>
      <c r="M138" s="12" t="s">
        <v>268</v>
      </c>
    </row>
    <row r="139" spans="1:20" ht="15" customHeight="1" x14ac:dyDescent="0.25">
      <c r="A139" s="22" t="str">
        <f>Eingabe!F98</f>
        <v>Lüftungsanlage mit WRG, zentral</v>
      </c>
      <c r="B139" s="22" t="s">
        <v>54</v>
      </c>
      <c r="C139" s="22" t="s">
        <v>54</v>
      </c>
      <c r="D139" s="86">
        <v>382.81</v>
      </c>
      <c r="E139" s="22">
        <v>-0.36399999999999999</v>
      </c>
      <c r="F139" s="22">
        <v>192.54</v>
      </c>
      <c r="G139" s="22">
        <v>-0.36399999999999999</v>
      </c>
      <c r="H139" s="22">
        <v>761.13</v>
      </c>
      <c r="I139" s="22">
        <v>-0.36399999999999999</v>
      </c>
      <c r="J139"/>
      <c r="K139" s="12">
        <v>5000</v>
      </c>
      <c r="L139" s="12">
        <v>2500</v>
      </c>
      <c r="M139" s="12">
        <v>1000</v>
      </c>
    </row>
    <row r="140" spans="1:20" ht="15" customHeight="1" x14ac:dyDescent="0.25">
      <c r="A140" s="22" t="str">
        <f>Eingabe!F99</f>
        <v>Lüftungsanlage mit WRG, dezentral</v>
      </c>
      <c r="B140" s="22" t="s">
        <v>54</v>
      </c>
      <c r="C140" s="22" t="s">
        <v>54</v>
      </c>
      <c r="D140" s="22">
        <v>837</v>
      </c>
      <c r="E140" s="22">
        <v>-0.65200000000000002</v>
      </c>
      <c r="F140" s="22">
        <v>109.84</v>
      </c>
      <c r="G140" s="22">
        <v>-0.58399999999999996</v>
      </c>
      <c r="H140" s="86">
        <v>3264.12</v>
      </c>
      <c r="I140" s="22">
        <v>-0.58399999999999996</v>
      </c>
      <c r="J140"/>
      <c r="K140" s="12">
        <v>1400</v>
      </c>
      <c r="L140" s="12">
        <v>200</v>
      </c>
      <c r="Q140" s="12" t="s">
        <v>269</v>
      </c>
      <c r="R140" s="22">
        <v>598.76</v>
      </c>
      <c r="S140" s="22">
        <v>-0.58399999999999996</v>
      </c>
    </row>
    <row r="141" spans="1:20" ht="15" customHeight="1" x14ac:dyDescent="0.25">
      <c r="A141" s="22" t="str">
        <f>Eingabe!F100</f>
        <v>Abluftanlage, zentral</v>
      </c>
      <c r="B141" s="22" t="s">
        <v>54</v>
      </c>
      <c r="C141" s="22" t="s">
        <v>54</v>
      </c>
      <c r="D141" s="22">
        <v>1068.2</v>
      </c>
      <c r="E141" s="22">
        <v>-0.78</v>
      </c>
      <c r="F141" s="22">
        <v>179.31</v>
      </c>
      <c r="G141" s="22">
        <v>-0.78</v>
      </c>
      <c r="H141" s="86">
        <v>6363.78</v>
      </c>
      <c r="I141" s="22">
        <v>-0.78</v>
      </c>
      <c r="J141"/>
      <c r="K141" s="12">
        <v>600</v>
      </c>
      <c r="L141" s="12">
        <v>700</v>
      </c>
    </row>
    <row r="142" spans="1:20" ht="15" customHeight="1" x14ac:dyDescent="0.25">
      <c r="A142" s="22" t="str">
        <f>Eingabe!F101</f>
        <v>Zu-/ Abluftanlage mit Wärmepumpe</v>
      </c>
      <c r="B142" s="22"/>
      <c r="C142" s="22"/>
      <c r="D142" s="22"/>
      <c r="E142" s="22"/>
      <c r="F142" s="22"/>
      <c r="G142" s="22"/>
      <c r="H142" s="86"/>
      <c r="I142" s="22"/>
      <c r="J142"/>
      <c r="K142" s="12">
        <v>8000</v>
      </c>
      <c r="L142" s="12">
        <v>2500</v>
      </c>
      <c r="M142" s="12">
        <v>1000</v>
      </c>
    </row>
    <row r="143" spans="1:20" ht="15" customHeight="1" x14ac:dyDescent="0.25">
      <c r="A143" s="22"/>
      <c r="B143" s="172" t="s">
        <v>270</v>
      </c>
      <c r="C143" s="172"/>
      <c r="D143" s="172"/>
      <c r="E143" s="172"/>
      <c r="F143" s="172"/>
      <c r="G143" s="172"/>
      <c r="H143" s="172"/>
      <c r="I143" s="172"/>
      <c r="J143"/>
    </row>
    <row r="144" spans="1:20" ht="15" customHeight="1" x14ac:dyDescent="0.25">
      <c r="A144" s="22" t="s">
        <v>271</v>
      </c>
      <c r="B144" s="22"/>
      <c r="C144" s="22"/>
      <c r="D144" s="22">
        <v>500</v>
      </c>
      <c r="E144" s="22">
        <v>90</v>
      </c>
      <c r="F144" s="22"/>
      <c r="G144" s="22"/>
      <c r="H144" s="86"/>
      <c r="I144" s="22"/>
      <c r="J144" t="s">
        <v>260</v>
      </c>
    </row>
    <row r="145" spans="1:20" ht="15" customHeight="1" x14ac:dyDescent="0.25">
      <c r="A145" s="22" t="s">
        <v>272</v>
      </c>
      <c r="B145" s="22">
        <v>8.8000000000000007</v>
      </c>
      <c r="C145" s="22">
        <v>-0.14119999999999999</v>
      </c>
      <c r="D145" s="22"/>
      <c r="E145" s="22"/>
      <c r="F145" s="22"/>
      <c r="G145" s="22"/>
      <c r="H145" s="86"/>
      <c r="I145" s="22" t="s">
        <v>273</v>
      </c>
      <c r="J145" t="s">
        <v>274</v>
      </c>
      <c r="L145" s="12" t="s">
        <v>275</v>
      </c>
    </row>
    <row r="146" spans="1:20" ht="15" customHeight="1" x14ac:dyDescent="0.25">
      <c r="A146" s="121"/>
      <c r="B146" s="121"/>
      <c r="C146" s="121"/>
      <c r="D146" s="121" t="s">
        <v>308</v>
      </c>
      <c r="E146" s="121"/>
      <c r="F146" s="121"/>
      <c r="G146" s="121"/>
      <c r="H146" s="86"/>
      <c r="I146" s="121"/>
      <c r="J146"/>
    </row>
    <row r="147" spans="1:20" ht="15" customHeight="1" x14ac:dyDescent="0.25">
      <c r="A147" s="128" t="s">
        <v>315</v>
      </c>
      <c r="B147" s="22">
        <v>65</v>
      </c>
      <c r="C147" s="22"/>
      <c r="D147" s="134">
        <f>(111.13/105.4)*100</f>
        <v>105.43643263757114</v>
      </c>
      <c r="E147" s="22"/>
      <c r="F147" s="22"/>
      <c r="G147" s="22"/>
      <c r="H147" s="86"/>
      <c r="I147" s="22"/>
      <c r="J147" t="s">
        <v>309</v>
      </c>
    </row>
    <row r="148" spans="1:20" ht="15" customHeight="1" x14ac:dyDescent="0.25">
      <c r="A148" s="130" t="s">
        <v>317</v>
      </c>
      <c r="B148" s="128">
        <v>822</v>
      </c>
      <c r="C148" s="128"/>
      <c r="D148" s="133">
        <f>(126.9+126.4+126+125)/4/160.8</f>
        <v>0.78404850746268651</v>
      </c>
      <c r="E148" s="128"/>
      <c r="F148" s="128"/>
      <c r="G148" s="128"/>
      <c r="H148" s="128"/>
      <c r="I148" s="128"/>
      <c r="J148" t="s">
        <v>316</v>
      </c>
    </row>
    <row r="149" spans="1:20" ht="15" customHeight="1" x14ac:dyDescent="0.25">
      <c r="A149" s="22"/>
      <c r="B149" s="22"/>
      <c r="C149" s="22"/>
      <c r="D149" s="22"/>
      <c r="E149" s="22"/>
      <c r="F149" s="22"/>
      <c r="G149" s="22"/>
      <c r="H149" s="86"/>
      <c r="I149" s="22"/>
      <c r="J149"/>
    </row>
    <row r="150" spans="1:20" ht="15" customHeight="1" x14ac:dyDescent="0.25">
      <c r="A150"/>
      <c r="B150" s="173" t="s">
        <v>208</v>
      </c>
      <c r="C150" s="173"/>
      <c r="D150"/>
      <c r="E150"/>
      <c r="F150"/>
      <c r="G150"/>
      <c r="H150" s="87"/>
      <c r="I150" s="88"/>
      <c r="J150"/>
    </row>
    <row r="151" spans="1:20" ht="15" customHeight="1" x14ac:dyDescent="0.25">
      <c r="A151" s="22" t="str">
        <f>Eingabe!F105</f>
        <v>Gerüste</v>
      </c>
      <c r="B151" s="22" t="s">
        <v>54</v>
      </c>
      <c r="C151" s="22" t="s">
        <v>54</v>
      </c>
      <c r="D151" s="22">
        <v>75.64</v>
      </c>
      <c r="E151" s="22">
        <v>-0.32</v>
      </c>
      <c r="F151" s="22">
        <v>53.35</v>
      </c>
      <c r="G151" s="22">
        <v>-0.32</v>
      </c>
      <c r="H151" s="22">
        <v>107.25</v>
      </c>
      <c r="I151" s="22">
        <v>-0.32</v>
      </c>
      <c r="J151"/>
    </row>
    <row r="152" spans="1:20" ht="15" customHeight="1" x14ac:dyDescent="0.25">
      <c r="A152" s="22"/>
      <c r="B152" s="22"/>
      <c r="C152" s="22"/>
      <c r="D152" s="22"/>
      <c r="E152" s="22"/>
      <c r="F152" s="22"/>
      <c r="G152" s="22"/>
      <c r="H152" s="22"/>
      <c r="I152" s="22"/>
      <c r="J152"/>
    </row>
    <row r="153" spans="1:20" ht="15" customHeight="1" x14ac:dyDescent="0.25">
      <c r="A153" s="174" t="s">
        <v>175</v>
      </c>
      <c r="B153" s="173" t="s">
        <v>276</v>
      </c>
      <c r="C153" s="173"/>
      <c r="D153"/>
      <c r="E153"/>
      <c r="F153"/>
      <c r="G153"/>
      <c r="H153"/>
      <c r="I153" s="88"/>
      <c r="J153" s="175" t="s">
        <v>299</v>
      </c>
      <c r="K153" s="173"/>
      <c r="L153" s="173"/>
      <c r="M153" s="173"/>
      <c r="N153" s="173"/>
      <c r="O153" s="173"/>
      <c r="P153" s="173"/>
      <c r="Q153" s="173"/>
      <c r="R153" s="173"/>
      <c r="S153" s="173"/>
      <c r="T153" s="173"/>
    </row>
    <row r="154" spans="1:20" ht="15" customHeight="1" x14ac:dyDescent="0.25">
      <c r="A154" s="174"/>
      <c r="B154" s="176">
        <v>1300</v>
      </c>
      <c r="C154" s="176"/>
      <c r="D154" t="s">
        <v>277</v>
      </c>
      <c r="E154"/>
      <c r="F154"/>
      <c r="G154"/>
      <c r="H154"/>
      <c r="I154" s="88"/>
      <c r="J154" s="173"/>
      <c r="K154" s="173"/>
      <c r="L154" s="173"/>
      <c r="M154" s="173"/>
      <c r="N154" s="173"/>
      <c r="O154" s="173"/>
      <c r="P154" s="173"/>
      <c r="Q154" s="173"/>
      <c r="R154" s="173"/>
      <c r="S154" s="173"/>
      <c r="T154" s="173"/>
    </row>
    <row r="155" spans="1:20" ht="15" customHeight="1" x14ac:dyDescent="0.25">
      <c r="A155" s="174"/>
      <c r="B155" s="176">
        <v>1800</v>
      </c>
      <c r="C155" s="176"/>
      <c r="D155" t="s">
        <v>278</v>
      </c>
      <c r="E155"/>
      <c r="F155"/>
      <c r="G155"/>
      <c r="H155"/>
      <c r="I155" s="88"/>
      <c r="J155" s="173"/>
      <c r="K155" s="173"/>
      <c r="L155" s="173"/>
      <c r="M155" s="173"/>
      <c r="N155" s="173"/>
      <c r="O155" s="173"/>
      <c r="P155" s="173"/>
      <c r="Q155" s="173"/>
      <c r="R155" s="173"/>
      <c r="S155" s="173"/>
      <c r="T155" s="173"/>
    </row>
    <row r="156" spans="1:20" ht="15" customHeight="1" x14ac:dyDescent="0.25">
      <c r="A156" s="174"/>
      <c r="B156" s="176">
        <v>400</v>
      </c>
      <c r="C156" s="176"/>
      <c r="D156" t="s">
        <v>279</v>
      </c>
      <c r="E156"/>
      <c r="F156"/>
      <c r="G156"/>
      <c r="H156"/>
      <c r="I156" s="88"/>
      <c r="J156" s="173"/>
      <c r="K156" s="173"/>
      <c r="L156" s="173"/>
      <c r="M156" s="173"/>
      <c r="N156" s="173"/>
      <c r="O156" s="173"/>
      <c r="P156" s="173"/>
      <c r="Q156" s="173"/>
      <c r="R156" s="173"/>
      <c r="S156" s="173"/>
      <c r="T156" s="173"/>
    </row>
    <row r="157" spans="1:20" ht="15" customHeight="1" x14ac:dyDescent="0.25">
      <c r="A157" s="114"/>
      <c r="B157" s="171" t="s">
        <v>208</v>
      </c>
      <c r="C157" s="171"/>
      <c r="D157" s="95"/>
      <c r="E157" s="95"/>
      <c r="F157" s="95"/>
      <c r="G157" s="95"/>
      <c r="H157" s="95"/>
      <c r="I157" s="35"/>
      <c r="J157"/>
    </row>
    <row r="158" spans="1:20" ht="15" customHeight="1" x14ac:dyDescent="0.25">
      <c r="A158" s="114" t="s">
        <v>180</v>
      </c>
      <c r="B158" s="22" t="s">
        <v>54</v>
      </c>
      <c r="C158" s="22" t="s">
        <v>54</v>
      </c>
      <c r="D158" s="22">
        <v>733.23</v>
      </c>
      <c r="E158" s="22">
        <v>-0.59899999999999998</v>
      </c>
      <c r="F158" s="22">
        <v>404.38</v>
      </c>
      <c r="G158" s="22">
        <v>-0.59899999999999998</v>
      </c>
      <c r="H158" s="86">
        <v>1329.49</v>
      </c>
      <c r="I158" s="22">
        <v>-0.59899999999999998</v>
      </c>
      <c r="J158"/>
    </row>
    <row r="159" spans="1:20" ht="15" customHeight="1" x14ac:dyDescent="0.25">
      <c r="A159"/>
      <c r="B159"/>
      <c r="C159"/>
      <c r="D159"/>
      <c r="E159"/>
      <c r="F159"/>
      <c r="G159"/>
      <c r="H159"/>
      <c r="I159"/>
      <c r="J159"/>
    </row>
    <row r="160" spans="1:20" ht="15" customHeight="1" x14ac:dyDescent="0.25">
      <c r="A160"/>
      <c r="B160"/>
      <c r="C160"/>
      <c r="D160"/>
      <c r="E160"/>
      <c r="F160"/>
      <c r="G160"/>
      <c r="H160"/>
      <c r="I160"/>
      <c r="J160"/>
    </row>
    <row r="161" spans="1:10" ht="15" customHeight="1" x14ac:dyDescent="0.25">
      <c r="A161"/>
      <c r="B161"/>
      <c r="C161"/>
      <c r="D161"/>
      <c r="E161"/>
      <c r="F161"/>
      <c r="G161"/>
      <c r="H161"/>
      <c r="I161"/>
      <c r="J161"/>
    </row>
    <row r="162" spans="1:10" ht="15" customHeight="1" x14ac:dyDescent="0.25">
      <c r="A162"/>
      <c r="B162"/>
      <c r="C162"/>
      <c r="D162"/>
      <c r="E162"/>
      <c r="F162"/>
      <c r="G162"/>
      <c r="H162"/>
      <c r="I162"/>
      <c r="J162"/>
    </row>
    <row r="163" spans="1:10" ht="15" customHeight="1" x14ac:dyDescent="0.25">
      <c r="A163"/>
      <c r="B163"/>
      <c r="C163"/>
      <c r="D163"/>
      <c r="E163"/>
      <c r="F163"/>
      <c r="G163"/>
      <c r="H163"/>
      <c r="I163"/>
      <c r="J163"/>
    </row>
    <row r="164" spans="1:10" ht="15" customHeight="1" x14ac:dyDescent="0.25">
      <c r="A164"/>
      <c r="B164"/>
      <c r="C164"/>
      <c r="D164"/>
      <c r="E164"/>
      <c r="F164"/>
      <c r="G164"/>
      <c r="H164"/>
      <c r="I164"/>
      <c r="J164"/>
    </row>
    <row r="165" spans="1:10" ht="15" customHeight="1" x14ac:dyDescent="0.25">
      <c r="A165" t="s">
        <v>298</v>
      </c>
      <c r="B165"/>
      <c r="C165"/>
      <c r="D165"/>
      <c r="E165"/>
      <c r="F165"/>
      <c r="G165"/>
      <c r="H165"/>
      <c r="I165"/>
      <c r="J165"/>
    </row>
    <row r="166" spans="1:10" ht="15" customHeight="1" x14ac:dyDescent="0.25">
      <c r="A166" t="s">
        <v>294</v>
      </c>
      <c r="B166"/>
      <c r="C166"/>
      <c r="D166"/>
      <c r="E166"/>
      <c r="F166"/>
      <c r="G166"/>
      <c r="H166"/>
      <c r="I166"/>
      <c r="J166"/>
    </row>
    <row r="167" spans="1:10" ht="15" customHeight="1" x14ac:dyDescent="0.25">
      <c r="A167" t="s">
        <v>295</v>
      </c>
      <c r="B167"/>
      <c r="C167"/>
      <c r="D167"/>
      <c r="E167"/>
      <c r="F167"/>
      <c r="G167"/>
      <c r="H167"/>
      <c r="I167"/>
      <c r="J167"/>
    </row>
    <row r="168" spans="1:10" ht="15" customHeight="1" x14ac:dyDescent="0.25">
      <c r="A168" t="s">
        <v>280</v>
      </c>
      <c r="B168"/>
      <c r="C168"/>
      <c r="D168"/>
      <c r="E168"/>
      <c r="F168"/>
      <c r="G168"/>
      <c r="H168"/>
      <c r="I168"/>
      <c r="J168"/>
    </row>
    <row r="169" spans="1:10" ht="15" customHeight="1" x14ac:dyDescent="0.25">
      <c r="A169" t="s">
        <v>281</v>
      </c>
      <c r="B169"/>
      <c r="C169"/>
      <c r="D169"/>
      <c r="E169"/>
      <c r="F169"/>
      <c r="G169"/>
      <c r="H169"/>
      <c r="I169"/>
      <c r="J169"/>
    </row>
    <row r="170" spans="1:10" ht="15" customHeight="1" x14ac:dyDescent="0.25">
      <c r="A170" t="s">
        <v>282</v>
      </c>
      <c r="B170"/>
      <c r="C170"/>
      <c r="D170"/>
      <c r="E170"/>
      <c r="F170"/>
      <c r="G170"/>
      <c r="H170"/>
      <c r="I170"/>
      <c r="J170"/>
    </row>
    <row r="171" spans="1:10" ht="15" customHeight="1" x14ac:dyDescent="0.25">
      <c r="A171" t="s">
        <v>283</v>
      </c>
      <c r="B171"/>
      <c r="C171"/>
      <c r="D171"/>
      <c r="E171"/>
      <c r="F171"/>
      <c r="G171"/>
      <c r="H171"/>
      <c r="I171"/>
      <c r="J171"/>
    </row>
    <row r="172" spans="1:10" ht="15" customHeight="1" x14ac:dyDescent="0.25">
      <c r="A172" t="s">
        <v>284</v>
      </c>
      <c r="B172"/>
      <c r="C172"/>
      <c r="D172"/>
      <c r="E172"/>
      <c r="F172"/>
      <c r="G172"/>
      <c r="H172"/>
      <c r="I172"/>
      <c r="J172"/>
    </row>
    <row r="173" spans="1:10" ht="15" customHeight="1" x14ac:dyDescent="0.25">
      <c r="A173" t="s">
        <v>125</v>
      </c>
      <c r="B173"/>
      <c r="C173"/>
      <c r="D173"/>
      <c r="E173"/>
      <c r="F173"/>
      <c r="G173"/>
      <c r="H173"/>
      <c r="I173"/>
      <c r="J173"/>
    </row>
    <row r="174" spans="1:10" ht="15" customHeight="1" x14ac:dyDescent="0.25">
      <c r="A174" t="s">
        <v>128</v>
      </c>
      <c r="B174"/>
      <c r="C174"/>
      <c r="D174"/>
      <c r="E174"/>
      <c r="F174"/>
      <c r="G174"/>
      <c r="H174"/>
      <c r="I174"/>
      <c r="J174"/>
    </row>
    <row r="175" spans="1:10" ht="15" customHeight="1" x14ac:dyDescent="0.25">
      <c r="A175" t="s">
        <v>130</v>
      </c>
      <c r="B175"/>
      <c r="C175"/>
      <c r="D175"/>
      <c r="E175"/>
      <c r="F175"/>
      <c r="G175"/>
      <c r="H175"/>
      <c r="I175"/>
      <c r="J175"/>
    </row>
    <row r="176" spans="1:10" ht="15" customHeight="1" x14ac:dyDescent="0.25">
      <c r="A176" t="s">
        <v>132</v>
      </c>
      <c r="B176"/>
      <c r="C176"/>
      <c r="D176"/>
      <c r="E176"/>
      <c r="F176"/>
      <c r="G176"/>
      <c r="H176"/>
      <c r="I176"/>
      <c r="J176"/>
    </row>
    <row r="177" spans="1:10" ht="15" customHeight="1" x14ac:dyDescent="0.25">
      <c r="A177" t="s">
        <v>134</v>
      </c>
      <c r="B177"/>
      <c r="C177"/>
      <c r="D177"/>
      <c r="E177"/>
      <c r="F177"/>
      <c r="G177"/>
      <c r="H177"/>
      <c r="I177"/>
      <c r="J177"/>
    </row>
    <row r="178" spans="1:10" ht="15" customHeight="1" x14ac:dyDescent="0.25">
      <c r="A178" t="s">
        <v>285</v>
      </c>
      <c r="B178"/>
      <c r="C178"/>
      <c r="D178"/>
      <c r="E178"/>
      <c r="F178"/>
      <c r="G178"/>
      <c r="H178"/>
      <c r="I178"/>
      <c r="J178"/>
    </row>
    <row r="179" spans="1:10" ht="15" customHeight="1" x14ac:dyDescent="0.25">
      <c r="A179" t="s">
        <v>286</v>
      </c>
      <c r="B179"/>
      <c r="C179"/>
      <c r="D179"/>
      <c r="E179"/>
      <c r="F179"/>
      <c r="G179"/>
      <c r="H179"/>
      <c r="I179"/>
      <c r="J179"/>
    </row>
    <row r="180" spans="1:10" ht="15" customHeight="1" x14ac:dyDescent="0.25">
      <c r="A180" t="s">
        <v>143</v>
      </c>
      <c r="B180"/>
      <c r="C180"/>
      <c r="D180"/>
      <c r="E180"/>
      <c r="F180"/>
      <c r="G180"/>
      <c r="H180"/>
      <c r="I180"/>
      <c r="J180"/>
    </row>
    <row r="181" spans="1:10" ht="15" customHeight="1" x14ac:dyDescent="0.25">
      <c r="A181" t="s">
        <v>287</v>
      </c>
      <c r="B181"/>
      <c r="C181"/>
      <c r="D181"/>
      <c r="E181"/>
      <c r="F181"/>
      <c r="G181"/>
      <c r="H181"/>
      <c r="I181"/>
      <c r="J181"/>
    </row>
    <row r="182" spans="1:10" ht="15" customHeight="1" x14ac:dyDescent="0.25">
      <c r="A182" t="s">
        <v>288</v>
      </c>
      <c r="B182"/>
      <c r="C182"/>
      <c r="D182"/>
      <c r="E182"/>
      <c r="F182"/>
      <c r="G182"/>
      <c r="H182"/>
      <c r="I182"/>
      <c r="J182"/>
    </row>
    <row r="183" spans="1:10" ht="15" customHeight="1" x14ac:dyDescent="0.25">
      <c r="A183" t="s">
        <v>150</v>
      </c>
      <c r="B183"/>
      <c r="C183"/>
      <c r="D183"/>
      <c r="E183"/>
      <c r="F183"/>
      <c r="G183"/>
      <c r="H183"/>
      <c r="I183"/>
      <c r="J183"/>
    </row>
    <row r="184" spans="1:10" ht="15" customHeight="1" x14ac:dyDescent="0.25">
      <c r="A184"/>
      <c r="B184"/>
      <c r="C184"/>
      <c r="D184"/>
      <c r="E184"/>
      <c r="F184"/>
      <c r="G184"/>
      <c r="H184"/>
      <c r="I184"/>
      <c r="J184"/>
    </row>
    <row r="185" spans="1:10" ht="15" customHeight="1" x14ac:dyDescent="0.25">
      <c r="A185"/>
      <c r="B185"/>
      <c r="C185"/>
      <c r="D185"/>
      <c r="E185"/>
      <c r="F185"/>
      <c r="G185"/>
      <c r="H185"/>
      <c r="I185"/>
      <c r="J185"/>
    </row>
    <row r="186" spans="1:10" ht="15" customHeight="1" x14ac:dyDescent="0.25">
      <c r="A186"/>
      <c r="B186"/>
      <c r="C186"/>
      <c r="D186"/>
      <c r="E186"/>
      <c r="F186"/>
      <c r="G186"/>
      <c r="H186"/>
      <c r="I186"/>
      <c r="J186"/>
    </row>
    <row r="187" spans="1:10" ht="15" customHeight="1" x14ac:dyDescent="0.25">
      <c r="A187"/>
      <c r="B187"/>
      <c r="C187"/>
      <c r="D187"/>
      <c r="E187"/>
      <c r="F187"/>
      <c r="G187"/>
      <c r="H187"/>
      <c r="I187"/>
      <c r="J187"/>
    </row>
    <row r="188" spans="1:10" ht="15" customHeight="1" x14ac:dyDescent="0.25">
      <c r="A188"/>
      <c r="B188"/>
      <c r="C188"/>
      <c r="D188"/>
      <c r="E188"/>
      <c r="F188"/>
      <c r="G188"/>
      <c r="H188"/>
      <c r="I188"/>
      <c r="J188"/>
    </row>
    <row r="189" spans="1:10" ht="15" customHeight="1" x14ac:dyDescent="0.25">
      <c r="A189"/>
      <c r="B189"/>
      <c r="C189"/>
      <c r="D189"/>
      <c r="E189"/>
      <c r="F189"/>
      <c r="G189"/>
      <c r="H189"/>
      <c r="I189"/>
      <c r="J189"/>
    </row>
    <row r="190" spans="1:10" ht="15" customHeight="1" x14ac:dyDescent="0.25">
      <c r="A190"/>
      <c r="B190"/>
      <c r="C190"/>
      <c r="D190"/>
      <c r="E190"/>
      <c r="F190"/>
      <c r="G190"/>
      <c r="H190"/>
      <c r="I190"/>
      <c r="J190"/>
    </row>
    <row r="191" spans="1:10" ht="15" customHeight="1" x14ac:dyDescent="0.25">
      <c r="A191"/>
      <c r="B191"/>
      <c r="C191"/>
      <c r="D191"/>
      <c r="E191"/>
      <c r="F191"/>
      <c r="G191"/>
      <c r="H191"/>
      <c r="I191"/>
      <c r="J191"/>
    </row>
    <row r="192" spans="1:10" ht="15" customHeight="1" x14ac:dyDescent="0.25">
      <c r="A192"/>
      <c r="B192"/>
      <c r="C192"/>
      <c r="D192"/>
      <c r="E192"/>
      <c r="F192"/>
      <c r="G192"/>
      <c r="H192"/>
      <c r="I192"/>
      <c r="J192"/>
    </row>
    <row r="193" spans="1:10" ht="15" customHeight="1" x14ac:dyDescent="0.25">
      <c r="A193"/>
      <c r="B193"/>
      <c r="C193"/>
      <c r="D193"/>
      <c r="E193"/>
      <c r="F193"/>
      <c r="G193"/>
      <c r="H193"/>
      <c r="I193"/>
      <c r="J193"/>
    </row>
    <row r="194" spans="1:10" ht="15" customHeight="1" x14ac:dyDescent="0.25">
      <c r="A194"/>
      <c r="B194"/>
      <c r="C194"/>
      <c r="D194"/>
      <c r="E194"/>
      <c r="F194"/>
      <c r="G194"/>
      <c r="H194"/>
      <c r="I194"/>
      <c r="J194"/>
    </row>
    <row r="195" spans="1:10" ht="15" customHeight="1" x14ac:dyDescent="0.25">
      <c r="A195"/>
      <c r="B195"/>
      <c r="C195"/>
      <c r="D195"/>
      <c r="E195"/>
      <c r="F195"/>
      <c r="G195"/>
      <c r="H195"/>
      <c r="I195"/>
      <c r="J195"/>
    </row>
    <row r="196" spans="1:10" ht="15" customHeight="1" x14ac:dyDescent="0.25">
      <c r="A196"/>
      <c r="B196"/>
      <c r="C196"/>
      <c r="D196"/>
      <c r="E196"/>
      <c r="F196"/>
      <c r="G196"/>
      <c r="H196"/>
      <c r="I196"/>
      <c r="J196"/>
    </row>
    <row r="197" spans="1:10" ht="15" customHeight="1" x14ac:dyDescent="0.25">
      <c r="A197"/>
      <c r="B197"/>
      <c r="C197"/>
      <c r="D197"/>
      <c r="E197"/>
      <c r="F197"/>
      <c r="G197"/>
      <c r="H197"/>
      <c r="I197"/>
      <c r="J197"/>
    </row>
    <row r="198" spans="1:10" ht="15" customHeight="1" x14ac:dyDescent="0.25">
      <c r="A198"/>
      <c r="B198"/>
      <c r="C198"/>
      <c r="D198"/>
      <c r="E198"/>
      <c r="F198"/>
      <c r="G198"/>
      <c r="H198"/>
      <c r="I198"/>
      <c r="J198"/>
    </row>
    <row r="199" spans="1:10" ht="15" customHeight="1" x14ac:dyDescent="0.25">
      <c r="A199"/>
      <c r="B199"/>
      <c r="C199"/>
      <c r="D199"/>
      <c r="E199"/>
      <c r="F199"/>
      <c r="G199"/>
      <c r="H199"/>
      <c r="I199"/>
      <c r="J199"/>
    </row>
    <row r="200" spans="1:10" ht="15" customHeight="1" x14ac:dyDescent="0.25">
      <c r="A200"/>
      <c r="B200"/>
      <c r="C200"/>
      <c r="D200"/>
      <c r="E200"/>
      <c r="F200"/>
      <c r="G200"/>
      <c r="H200"/>
      <c r="I200"/>
      <c r="J200"/>
    </row>
    <row r="201" spans="1:10" ht="15" customHeight="1" x14ac:dyDescent="0.25">
      <c r="A201"/>
      <c r="B201"/>
      <c r="C201"/>
      <c r="D201"/>
      <c r="E201"/>
      <c r="F201"/>
      <c r="G201"/>
      <c r="H201"/>
      <c r="I201"/>
      <c r="J201"/>
    </row>
    <row r="202" spans="1:10" ht="15" customHeight="1" x14ac:dyDescent="0.25">
      <c r="A202"/>
      <c r="B202"/>
      <c r="C202"/>
      <c r="D202"/>
      <c r="E202"/>
      <c r="F202"/>
      <c r="G202"/>
      <c r="H202"/>
      <c r="I202"/>
      <c r="J202"/>
    </row>
    <row r="203" spans="1:10" ht="15" customHeight="1" x14ac:dyDescent="0.25">
      <c r="A203"/>
      <c r="B203"/>
      <c r="C203"/>
      <c r="D203"/>
      <c r="E203"/>
      <c r="F203"/>
      <c r="G203"/>
      <c r="H203"/>
      <c r="I203"/>
      <c r="J203"/>
    </row>
    <row r="204" spans="1:10" ht="15" customHeight="1" x14ac:dyDescent="0.25">
      <c r="A204"/>
      <c r="B204"/>
      <c r="C204"/>
      <c r="D204"/>
      <c r="E204"/>
      <c r="F204"/>
      <c r="G204"/>
      <c r="H204"/>
      <c r="I204"/>
      <c r="J204"/>
    </row>
    <row r="205" spans="1:10" ht="15" customHeight="1" x14ac:dyDescent="0.25">
      <c r="A205"/>
      <c r="B205"/>
      <c r="C205"/>
      <c r="D205"/>
      <c r="E205"/>
      <c r="F205"/>
      <c r="G205"/>
      <c r="H205"/>
      <c r="I205"/>
      <c r="J205"/>
    </row>
    <row r="206" spans="1:10" ht="15" customHeight="1" x14ac:dyDescent="0.25">
      <c r="A206"/>
      <c r="B206"/>
      <c r="C206"/>
      <c r="D206"/>
      <c r="E206"/>
      <c r="F206"/>
      <c r="G206"/>
      <c r="H206"/>
      <c r="I206"/>
      <c r="J206"/>
    </row>
    <row r="207" spans="1:10" ht="15" customHeight="1" x14ac:dyDescent="0.25">
      <c r="A207"/>
      <c r="B207"/>
      <c r="C207"/>
      <c r="D207"/>
      <c r="E207"/>
      <c r="F207"/>
      <c r="G207"/>
      <c r="H207"/>
      <c r="I207"/>
      <c r="J207"/>
    </row>
    <row r="208" spans="1:10" ht="15" customHeight="1" x14ac:dyDescent="0.25">
      <c r="A208"/>
      <c r="B208"/>
      <c r="C208"/>
      <c r="D208"/>
      <c r="E208"/>
      <c r="F208"/>
      <c r="G208"/>
      <c r="H208"/>
      <c r="I208"/>
      <c r="J208"/>
    </row>
    <row r="209" spans="1:10" ht="15" customHeight="1" x14ac:dyDescent="0.25">
      <c r="A209"/>
      <c r="B209"/>
      <c r="C209"/>
      <c r="D209"/>
      <c r="E209"/>
      <c r="F209"/>
      <c r="G209"/>
      <c r="H209"/>
      <c r="I209"/>
      <c r="J209"/>
    </row>
  </sheetData>
  <sheetProtection algorithmName="SHA-512" hashValue="WgAo7p7gAEoiedraKMfeiJx/dDvMIFXonYpPdZufShIDwXZrcMxTOJao/oQOMgENc/TsrVKjXCP4g7YfGwBmiQ==" saltValue="sskUf9asWk5IcDIvW5l8oQ==" spinCount="100000" sheet="1" objects="1" scenarios="1"/>
  <mergeCells count="49">
    <mergeCell ref="J22:N22"/>
    <mergeCell ref="A1:T1"/>
    <mergeCell ref="B4:C4"/>
    <mergeCell ref="D4:E4"/>
    <mergeCell ref="F4:G4"/>
    <mergeCell ref="H4:I4"/>
    <mergeCell ref="B7:C7"/>
    <mergeCell ref="D7:E7"/>
    <mergeCell ref="F7:G7"/>
    <mergeCell ref="H7:I7"/>
    <mergeCell ref="B9:C9"/>
    <mergeCell ref="B14:C14"/>
    <mergeCell ref="B18:C18"/>
    <mergeCell ref="B24:C24"/>
    <mergeCell ref="B47:C47"/>
    <mergeCell ref="B58:C58"/>
    <mergeCell ref="J58:T66"/>
    <mergeCell ref="B61:C61"/>
    <mergeCell ref="B63:C63"/>
    <mergeCell ref="E63:F63"/>
    <mergeCell ref="J31:U31"/>
    <mergeCell ref="B69:C69"/>
    <mergeCell ref="B72:C72"/>
    <mergeCell ref="B74:C74"/>
    <mergeCell ref="J76:T109"/>
    <mergeCell ref="B97:C98"/>
    <mergeCell ref="D97:E98"/>
    <mergeCell ref="F97:G98"/>
    <mergeCell ref="B112:C112"/>
    <mergeCell ref="J112:T119"/>
    <mergeCell ref="B115:C115"/>
    <mergeCell ref="B117:D117"/>
    <mergeCell ref="B120:C120"/>
    <mergeCell ref="J120:T121"/>
    <mergeCell ref="B121:C121"/>
    <mergeCell ref="J153:T156"/>
    <mergeCell ref="B154:C154"/>
    <mergeCell ref="B155:C155"/>
    <mergeCell ref="B156:C156"/>
    <mergeCell ref="B124:C124"/>
    <mergeCell ref="B126:C126"/>
    <mergeCell ref="B132:C132"/>
    <mergeCell ref="B138:C138"/>
    <mergeCell ref="J124:T130"/>
    <mergeCell ref="B157:C157"/>
    <mergeCell ref="B143:I143"/>
    <mergeCell ref="B150:C150"/>
    <mergeCell ref="A153:A156"/>
    <mergeCell ref="B153:C153"/>
  </mergeCells>
  <hyperlinks>
    <hyperlink ref="J76" r:id="rId1" display="http://www.asue.de/blockheizkraftwerke/broschueren/05_10_14_bhkw-kenndaten_2014-15" xr:uid="{00000000-0004-0000-0200-000000000000}"/>
    <hyperlink ref="N137" r:id="rId2" display="https://tzwl.de/endkunden/infoportal-wohnungslueftung/10-fragen-zu-l%C3%BCftung" xr:uid="{00000000-0004-0000-0200-000001000000}"/>
  </hyperlinks>
  <pageMargins left="0.7" right="0.7" top="0.78749999999999998" bottom="0.78749999999999998" header="0.51180555555555496" footer="0.51180555555555496"/>
  <pageSetup paperSize="9" orientation="portrait" horizontalDpi="300" verticalDpi="300"/>
  <drawing r:id="rId3"/>
  <legacyDrawing r:id="rId4"/>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Hinweise</vt:lpstr>
      <vt:lpstr>Eingabe</vt:lpstr>
      <vt:lpstr>Daten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Klaus Lambrecht</dc:creator>
  <dc:description/>
  <cp:lastModifiedBy>Klaus Lambrecht</cp:lastModifiedBy>
  <cp:revision>93</cp:revision>
  <dcterms:created xsi:type="dcterms:W3CDTF">2016-01-18T11:06:58Z</dcterms:created>
  <dcterms:modified xsi:type="dcterms:W3CDTF">2026-01-12T17:06:55Z</dcterms:modified>
  <dc:language>de-DE</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