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192.168.116.98\econsult\benutzer\ao\Projekte\Büro-Intern\Kostentool\2026_03\"/>
    </mc:Choice>
  </mc:AlternateContent>
  <xr:revisionPtr revIDLastSave="0" documentId="13_ncr:1_{32D4270F-1260-4678-909A-6054D2CE134D}" xr6:coauthVersionLast="47" xr6:coauthVersionMax="47" xr10:uidLastSave="{00000000-0000-0000-0000-000000000000}"/>
  <bookViews>
    <workbookView xWindow="-120" yWindow="-120" windowWidth="38640" windowHeight="21120" tabRatio="500" xr2:uid="{00000000-000D-0000-FFFF-FFFF00000000}"/>
  </bookViews>
  <sheets>
    <sheet name="Hinweise" sheetId="1" r:id="rId1"/>
    <sheet name="Eingabe" sheetId="2" r:id="rId2"/>
    <sheet name="Daten"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 xmlns:loext="http://schemas.libreoffice.org/" uri="{7626C862-2A13-11E5-B345-FEFF819CDC9F}">
      <loext:extCalcPr stringRefSyntax="ExcelA1"/>
    </ext>
  </extLst>
</workbook>
</file>

<file path=xl/calcChain.xml><?xml version="1.0" encoding="utf-8"?>
<calcChain xmlns="http://schemas.openxmlformats.org/spreadsheetml/2006/main">
  <c r="H99" i="2" l="1"/>
  <c r="J99" i="2"/>
  <c r="E58" i="2"/>
  <c r="H57" i="2"/>
  <c r="H60" i="2" s="1"/>
  <c r="A59" i="2"/>
  <c r="A60" i="2"/>
  <c r="A58" i="2"/>
  <c r="A54" i="2"/>
  <c r="A55" i="2"/>
  <c r="A56" i="2"/>
  <c r="A53" i="2"/>
  <c r="F59" i="2"/>
  <c r="F58" i="2"/>
  <c r="F56" i="2"/>
  <c r="F55" i="2"/>
  <c r="F54" i="2"/>
  <c r="F53" i="2"/>
  <c r="B58" i="3"/>
  <c r="J57" i="2"/>
  <c r="J30" i="2"/>
  <c r="J19" i="2"/>
  <c r="H58" i="2" l="1"/>
  <c r="H59" i="2"/>
  <c r="E59" i="2"/>
  <c r="H64" i="3"/>
  <c r="H65" i="3"/>
  <c r="H66" i="3"/>
  <c r="H67" i="3"/>
  <c r="H63" i="3"/>
  <c r="A69" i="3"/>
  <c r="A63" i="3"/>
  <c r="B60" i="3"/>
  <c r="A155" i="3"/>
  <c r="D152" i="3"/>
  <c r="D151" i="3"/>
  <c r="A146" i="3"/>
  <c r="A145" i="3"/>
  <c r="A144" i="3"/>
  <c r="A143" i="3"/>
  <c r="A139" i="3"/>
  <c r="A138" i="3"/>
  <c r="A137" i="3"/>
  <c r="A134" i="3"/>
  <c r="H133" i="3"/>
  <c r="A133" i="3"/>
  <c r="A123" i="3"/>
  <c r="A122" i="3"/>
  <c r="A55" i="3"/>
  <c r="A54" i="3"/>
  <c r="A52" i="3"/>
  <c r="A51" i="3"/>
  <c r="A48" i="3"/>
  <c r="A45" i="3"/>
  <c r="A44" i="3"/>
  <c r="A43" i="3"/>
  <c r="A42" i="3"/>
  <c r="A41" i="3"/>
  <c r="A40" i="3"/>
  <c r="A38" i="3"/>
  <c r="A36" i="3"/>
  <c r="A35" i="3"/>
  <c r="A34" i="3"/>
  <c r="A33" i="3"/>
  <c r="A32" i="3"/>
  <c r="C31" i="3"/>
  <c r="A30" i="3"/>
  <c r="A29" i="3"/>
  <c r="A28" i="3"/>
  <c r="A27" i="3"/>
  <c r="A25" i="3"/>
  <c r="D22" i="3"/>
  <c r="C22" i="3" s="1"/>
  <c r="A20" i="3"/>
  <c r="A19" i="3"/>
  <c r="A16" i="3"/>
  <c r="A15" i="3"/>
  <c r="A12" i="3"/>
  <c r="A11" i="3"/>
  <c r="A10" i="3"/>
  <c r="B106" i="2"/>
  <c r="B92" i="2"/>
  <c r="B86" i="2"/>
  <c r="A83" i="2"/>
  <c r="C82" i="2"/>
  <c r="A82" i="2"/>
  <c r="A81" i="2"/>
  <c r="A80" i="2"/>
  <c r="A79" i="2"/>
  <c r="C78" i="2"/>
  <c r="A78" i="2"/>
  <c r="A77" i="2"/>
  <c r="A76" i="2"/>
  <c r="B75" i="2"/>
  <c r="A72" i="2"/>
  <c r="A71" i="2"/>
  <c r="H70" i="2"/>
  <c r="G70" i="2"/>
  <c r="A70" i="2"/>
  <c r="H69" i="2"/>
  <c r="G69" i="2"/>
  <c r="A69" i="2"/>
  <c r="A68" i="2"/>
  <c r="B67" i="2"/>
  <c r="B52" i="2"/>
  <c r="C34" i="2"/>
  <c r="B30" i="2"/>
  <c r="B19" i="2"/>
  <c r="C12" i="2"/>
  <c r="C14" i="2" s="1"/>
  <c r="G60" i="2" s="1"/>
  <c r="I83" i="2" l="1"/>
  <c r="I82" i="2"/>
  <c r="I81" i="2"/>
  <c r="I79" i="2"/>
  <c r="I78" i="2"/>
  <c r="I77" i="2"/>
  <c r="I72" i="2"/>
  <c r="I71" i="2"/>
  <c r="I70" i="2"/>
  <c r="I69" i="2"/>
  <c r="I68" i="2"/>
  <c r="I53" i="2"/>
  <c r="I54" i="2"/>
  <c r="I55" i="2"/>
  <c r="I56" i="2"/>
  <c r="I64" i="2"/>
  <c r="I63" i="2"/>
  <c r="I62" i="2"/>
  <c r="I61" i="2"/>
  <c r="H103" i="2"/>
  <c r="G103" i="2" s="1"/>
  <c r="H102" i="2"/>
  <c r="G102" i="2" s="1"/>
  <c r="H101" i="2"/>
  <c r="G101" i="2" s="1"/>
  <c r="H100" i="2"/>
  <c r="G100" i="2" s="1"/>
  <c r="H98" i="2"/>
  <c r="G59" i="2"/>
  <c r="H61" i="2"/>
  <c r="H63" i="2"/>
  <c r="G63" i="2" s="1"/>
  <c r="H62" i="2"/>
  <c r="G62" i="2" s="1"/>
  <c r="H64" i="2"/>
  <c r="G64" i="2" s="1"/>
  <c r="G61" i="2"/>
  <c r="E60" i="2"/>
  <c r="H107" i="2"/>
  <c r="H23" i="2"/>
  <c r="G39" i="2"/>
  <c r="H39" i="2" s="1"/>
  <c r="J39" i="2" s="1"/>
  <c r="I39" i="2" s="1"/>
  <c r="G34" i="2"/>
  <c r="H34" i="2" s="1"/>
  <c r="H94" i="2"/>
  <c r="E71" i="2"/>
  <c r="G71" i="2" s="1"/>
  <c r="H71" i="2" s="1"/>
  <c r="H54" i="2"/>
  <c r="G48" i="2"/>
  <c r="H48" i="2" s="1"/>
  <c r="I48" i="2" s="1"/>
  <c r="J48" i="2" s="1"/>
  <c r="G43" i="2"/>
  <c r="H43" i="2" s="1"/>
  <c r="I43" i="2" s="1"/>
  <c r="J43" i="2" s="1"/>
  <c r="G35" i="2"/>
  <c r="H35" i="2" s="1"/>
  <c r="J35" i="2" s="1"/>
  <c r="I35" i="2" s="1"/>
  <c r="G31" i="2"/>
  <c r="H31" i="2" s="1"/>
  <c r="I31" i="2" s="1"/>
  <c r="J31" i="2" s="1"/>
  <c r="G22" i="2"/>
  <c r="G42" i="2"/>
  <c r="H42" i="2" s="1"/>
  <c r="I42" i="2" s="1"/>
  <c r="J42" i="2" s="1"/>
  <c r="G26" i="2"/>
  <c r="I26" i="2" s="1"/>
  <c r="H76" i="2"/>
  <c r="G47" i="2"/>
  <c r="H47" i="2" s="1"/>
  <c r="I47" i="2" s="1"/>
  <c r="J47" i="2" s="1"/>
  <c r="H93" i="2"/>
  <c r="H110" i="2"/>
  <c r="E68" i="2"/>
  <c r="G68" i="2" s="1"/>
  <c r="H68" i="2" s="1"/>
  <c r="H53" i="2"/>
  <c r="G27" i="2"/>
  <c r="I27" i="2" s="1"/>
  <c r="G21" i="2"/>
  <c r="G46" i="2"/>
  <c r="H46" i="2" s="1"/>
  <c r="I46" i="2" s="1"/>
  <c r="J46" i="2" s="1"/>
  <c r="G37" i="2"/>
  <c r="H37" i="2" s="1"/>
  <c r="J37" i="2" s="1"/>
  <c r="I37" i="2" s="1"/>
  <c r="H97" i="2"/>
  <c r="E70" i="2" a="1"/>
  <c r="E70" i="2" s="1"/>
  <c r="H56" i="2"/>
  <c r="G41" i="2"/>
  <c r="H41" i="2" s="1"/>
  <c r="I41" i="2" s="1"/>
  <c r="J41" i="2" s="1"/>
  <c r="H89" i="2"/>
  <c r="H109" i="2"/>
  <c r="H96" i="2"/>
  <c r="H87" i="2"/>
  <c r="E72" i="2"/>
  <c r="G72" i="2" s="1"/>
  <c r="H72" i="2" s="1"/>
  <c r="G45" i="2"/>
  <c r="H45" i="2" s="1"/>
  <c r="G38" i="2"/>
  <c r="H38" i="2" s="1"/>
  <c r="J38" i="2" s="1"/>
  <c r="I38" i="2" s="1"/>
  <c r="H55" i="2"/>
  <c r="G20" i="2"/>
  <c r="G49" i="2"/>
  <c r="H49" i="2" s="1"/>
  <c r="I49" i="2" s="1"/>
  <c r="J49" i="2" s="1"/>
  <c r="G44" i="2"/>
  <c r="H44" i="2" s="1"/>
  <c r="H24" i="2"/>
  <c r="H108" i="2"/>
  <c r="H95" i="2"/>
  <c r="E69" i="2" a="1"/>
  <c r="E69" i="2" s="1"/>
  <c r="G25" i="2"/>
  <c r="I25" i="2" s="1"/>
  <c r="H80" i="2"/>
  <c r="G33" i="2"/>
  <c r="H33" i="2" s="1"/>
  <c r="J33" i="2" s="1"/>
  <c r="I33" i="2" s="1"/>
  <c r="G40" i="2"/>
  <c r="H40" i="2" s="1"/>
  <c r="I40" i="2" s="1"/>
  <c r="J40" i="2" s="1"/>
  <c r="G32" i="2"/>
  <c r="H32" i="2" s="1"/>
  <c r="J32" i="2" s="1"/>
  <c r="G36" i="2"/>
  <c r="H36" i="2" s="1"/>
  <c r="J36" i="2" s="1"/>
  <c r="I36" i="2" s="1"/>
  <c r="G58" i="2" l="1"/>
  <c r="I60" i="2"/>
  <c r="J60" i="2" s="1"/>
  <c r="J64" i="2"/>
  <c r="I59" i="2"/>
  <c r="J59" i="2" s="1"/>
  <c r="I58" i="2"/>
  <c r="J58" i="2" s="1"/>
  <c r="I22" i="2"/>
  <c r="I21" i="2"/>
  <c r="J21" i="2" s="1"/>
  <c r="I20" i="2"/>
  <c r="J61" i="2"/>
  <c r="J62" i="2"/>
  <c r="J71" i="2"/>
  <c r="J34" i="2"/>
  <c r="I34" i="2" s="1"/>
  <c r="J63" i="2"/>
  <c r="J55" i="2"/>
  <c r="J69" i="2"/>
  <c r="J70" i="2"/>
  <c r="J56" i="2"/>
  <c r="J54" i="2"/>
  <c r="J68" i="2"/>
  <c r="J72" i="2"/>
  <c r="I97" i="2"/>
  <c r="G97" i="2"/>
  <c r="H21" i="2"/>
  <c r="G56" i="2"/>
  <c r="H26" i="2"/>
  <c r="J26" i="2" s="1"/>
  <c r="H20" i="2"/>
  <c r="J53" i="2"/>
  <c r="G53" i="2"/>
  <c r="H81" i="2"/>
  <c r="H77" i="2"/>
  <c r="G54" i="2"/>
  <c r="H82" i="2"/>
  <c r="H78" i="2"/>
  <c r="H22" i="2"/>
  <c r="H83" i="2"/>
  <c r="H79" i="2"/>
  <c r="G55" i="2"/>
  <c r="J87" i="2"/>
  <c r="G87" i="2"/>
  <c r="G94" i="2"/>
  <c r="G80" i="2"/>
  <c r="J80" i="2"/>
  <c r="I96" i="2"/>
  <c r="G96" i="2"/>
  <c r="I110" i="2"/>
  <c r="G110" i="2"/>
  <c r="H25" i="2"/>
  <c r="J25" i="2" s="1"/>
  <c r="H27" i="2"/>
  <c r="J27" i="2" s="1"/>
  <c r="I100" i="2"/>
  <c r="J100" i="2" s="1"/>
  <c r="I103" i="2"/>
  <c r="J103" i="2" s="1"/>
  <c r="I102" i="2"/>
  <c r="J102" i="2" s="1"/>
  <c r="I101" i="2"/>
  <c r="J101" i="2" s="1"/>
  <c r="I95" i="2"/>
  <c r="G95" i="2"/>
  <c r="J109" i="2"/>
  <c r="I109" i="2" s="1"/>
  <c r="G109" i="2"/>
  <c r="I98" i="2"/>
  <c r="G98" i="2"/>
  <c r="J89" i="2"/>
  <c r="G89" i="2"/>
  <c r="I93" i="2"/>
  <c r="I94" i="2" s="1"/>
  <c r="J94" i="2" s="1"/>
  <c r="G93" i="2"/>
  <c r="J108" i="2"/>
  <c r="I108" i="2" s="1"/>
  <c r="G108" i="2"/>
  <c r="J76" i="2"/>
  <c r="G76" i="2"/>
  <c r="G107" i="2"/>
  <c r="I107" i="2"/>
  <c r="J20" i="2" l="1"/>
  <c r="J22" i="2"/>
  <c r="J82" i="2"/>
  <c r="G82" i="2"/>
  <c r="J81" i="2"/>
  <c r="G81" i="2"/>
  <c r="G77" i="2"/>
  <c r="J77" i="2"/>
  <c r="G78" i="2"/>
  <c r="J78" i="2"/>
  <c r="J79" i="2"/>
  <c r="G79" i="2"/>
  <c r="G83" i="2"/>
  <c r="J83"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Aron Oehler</author>
    <author>ao</author>
  </authors>
  <commentList>
    <comment ref="B5" authorId="0" shapeId="0" xr:uid="{00000000-0006-0000-0100-000001000000}">
      <text>
        <r>
          <rPr>
            <sz val="10"/>
            <rFont val="Arial"/>
            <family val="2"/>
          </rPr>
          <t>Wärmeerzeuger im Bestand vor der Sanierung; mit dieser Angabe werden die Sowieso-Kosten ermittelt</t>
        </r>
      </text>
    </comment>
    <comment ref="B6" authorId="0" shapeId="0" xr:uid="{00000000-0006-0000-0100-000002000000}">
      <text>
        <r>
          <rPr>
            <sz val="10"/>
            <rFont val="Arial"/>
            <family val="2"/>
          </rPr>
          <t>Baualter Technik für jede Anlage unter Berücksichtigung der Angaben in Spalte M aktualisieren. Eingabe hat Einfluss auf Verhältnis Sowieso-Kosten und energetisch bedingte Mehrkosten.
0a = Neubau</t>
        </r>
      </text>
    </comment>
    <comment ref="B7" authorId="0" shapeId="0" xr:uid="{00000000-0006-0000-0100-000003000000}">
      <text>
        <r>
          <rPr>
            <sz val="10"/>
            <rFont val="Arial"/>
            <family val="2"/>
          </rPr>
          <t>Bauteilalter für jedes Bauteil unter Berücksichtigung der Angaben in Spalte M aktualisieren. Eingabe hat Einfluss auf Verhältnis Sowieso-Kosten und energetisch bedingte Mehrkosten.
0a = Neubau</t>
        </r>
      </text>
    </comment>
    <comment ref="B11" authorId="0" shapeId="0" xr:uid="{00000000-0006-0000-0100-000004000000}">
      <text>
        <r>
          <rPr>
            <sz val="10"/>
            <rFont val="Arial"/>
            <family val="2"/>
          </rPr>
          <t>https://www.destatis.de/DE/ZahlenFakten/Indikatoren/Konjunkturindikatoren/Preise/bpr110.html</t>
        </r>
      </text>
    </comment>
    <comment ref="B13" authorId="0" shapeId="0" xr:uid="{00000000-0006-0000-0100-000005000000}">
      <text>
        <r>
          <rPr>
            <sz val="10"/>
            <rFont val="Arial"/>
            <family val="2"/>
          </rPr>
          <t>https://www.sirados.de/ortsfaktoren.html</t>
        </r>
      </text>
    </comment>
    <comment ref="B16" authorId="0" shapeId="0" xr:uid="{00000000-0006-0000-0100-000006000000}">
      <text>
        <r>
          <rPr>
            <sz val="10"/>
            <rFont val="Arial"/>
            <family val="2"/>
          </rPr>
          <t>Aufschlag auf die Investitionskosten</t>
        </r>
      </text>
    </comment>
    <comment ref="F31" authorId="0" shapeId="0" xr:uid="{00000000-0006-0000-0100-000009000000}">
      <text>
        <r>
          <rPr>
            <sz val="10"/>
            <rFont val="Arial"/>
            <family val="2"/>
          </rPr>
          <t>Bei den Kosten der Außenwandflächen aus der Bedarfsberechnung sind diese bereits mit Faktor 1,08  korrigiert (Übermessung von Flächen kleiner 25m²)</t>
        </r>
      </text>
    </comment>
    <comment ref="G36" authorId="0" shapeId="0" xr:uid="{00000000-0006-0000-0100-00000D000000}">
      <text>
        <r>
          <rPr>
            <sz val="10"/>
            <rFont val="Arial"/>
            <family val="2"/>
          </rPr>
          <t>18 € Einbau Estrich
17 € Abbruch Estrich
12 € Grundkosten Dämmung zzgl. 1,04 €/cm/m²</t>
        </r>
      </text>
    </comment>
    <comment ref="C57" authorId="1" shapeId="0" xr:uid="{A5DDE147-9D0E-4FB6-A9EE-51B466D71047}">
      <text>
        <r>
          <rPr>
            <sz val="10"/>
            <color indexed="81"/>
            <rFont val="Arial"/>
            <family val="2"/>
          </rPr>
          <t>Leistungsangabe für Wärmepumpen- und Wärmequellenauslegung</t>
        </r>
      </text>
    </comment>
    <comment ref="C60" authorId="1" shapeId="0" xr:uid="{675722E3-814E-4F4C-B294-8510D4F7DDEE}">
      <text>
        <r>
          <rPr>
            <sz val="10"/>
            <color indexed="81"/>
            <rFont val="Arial"/>
            <family val="2"/>
          </rPr>
          <t>Anzahl Luft-Luft-Wärmepumpen (Zur Kostenermittlung wird die Heizlast C58 durch die Anzahl geteilt)</t>
        </r>
      </text>
    </comment>
    <comment ref="C62" authorId="1" shapeId="0" xr:uid="{DE3977D7-C656-44BC-8851-A72D8630568B}">
      <text>
        <r>
          <rPr>
            <sz val="10"/>
            <color indexed="81"/>
            <rFont val="Arial"/>
            <family val="2"/>
          </rPr>
          <t>10-40 W/m²</t>
        </r>
      </text>
    </comment>
    <comment ref="H62" authorId="1" shapeId="0" xr:uid="{F0AA2410-8F36-46EF-8121-3AFBBE53C45C}">
      <text>
        <r>
          <rPr>
            <b/>
            <sz val="9"/>
            <color indexed="81"/>
            <rFont val="Segoe UI"/>
            <charset val="1"/>
          </rPr>
          <t xml:space="preserve">Kosten Wärmequelle
</t>
        </r>
        <r>
          <rPr>
            <sz val="9"/>
            <color indexed="81"/>
            <rFont val="Segoe UI"/>
            <family val="2"/>
          </rPr>
          <t>Materialkosten: 20 €/m²
Installation/Einbau: 42,5 €/m²
    typische Bandbreite: 25-60 €/m²
Planung/Genehmigung: 10 €/m²
    typische Bandbreite: 5-15 €/m²</t>
        </r>
      </text>
    </comment>
    <comment ref="C63" authorId="1" shapeId="0" xr:uid="{9E3DDEFE-02D0-4917-8A7B-663FA5D8BB6E}">
      <text>
        <r>
          <rPr>
            <sz val="10"/>
            <color indexed="81"/>
            <rFont val="Arial"/>
            <family val="2"/>
          </rPr>
          <t>30-100 W/m</t>
        </r>
      </text>
    </comment>
    <comment ref="H63" authorId="1" shapeId="0" xr:uid="{93917CEB-BB59-4B7A-AC59-D0051C749692}">
      <text>
        <r>
          <rPr>
            <b/>
            <sz val="9"/>
            <color indexed="81"/>
            <rFont val="Segoe UI"/>
            <family val="2"/>
          </rPr>
          <t xml:space="preserve">Kosten Wärmequelle
</t>
        </r>
        <r>
          <rPr>
            <sz val="9"/>
            <color indexed="81"/>
            <rFont val="Segoe UI"/>
            <family val="2"/>
          </rPr>
          <t>Materialkosten: 25 €/m
Installation/Einbau: 60 €/m
Planung/Genehmigung: 4.000 €
    typische Bandbreite: 480-4.800 €</t>
        </r>
      </text>
    </comment>
    <comment ref="C64" authorId="1" shapeId="0" xr:uid="{117BB5F2-14D1-49FB-8F2E-195644B13CD9}">
      <text>
        <r>
          <rPr>
            <sz val="10"/>
            <color indexed="81"/>
            <rFont val="Arial"/>
            <family val="2"/>
          </rPr>
          <t>0-200 m
gesamte Brunnentiefe für Förder- und Sickerbrunnen</t>
        </r>
      </text>
    </comment>
    <comment ref="H64" authorId="1" shapeId="0" xr:uid="{CD8FB8EB-2EA5-4372-ACD0-553F19E19A31}">
      <text>
        <r>
          <rPr>
            <b/>
            <sz val="9"/>
            <color indexed="81"/>
            <rFont val="Segoe UI"/>
            <family val="2"/>
          </rPr>
          <t xml:space="preserve">Kosten Wärmequelle
</t>
        </r>
        <r>
          <rPr>
            <sz val="9"/>
            <color indexed="81"/>
            <rFont val="Segoe UI"/>
            <family val="2"/>
          </rPr>
          <t>Materialkosten: 85 €/m
Installation/Einbau: 310 €/m
Planung/Genehmigung: 240 €/m 
    typische Bandbreite: 60-240 €/m</t>
        </r>
      </text>
    </comment>
    <comment ref="J68" authorId="0" shapeId="0" xr:uid="{00000000-0006-0000-0100-000011000000}">
      <text>
        <r>
          <rPr>
            <sz val="10"/>
            <rFont val="Arial"/>
            <family val="2"/>
          </rPr>
          <t>Prüfen, ob BHKW monovalent betrieben werden kann. Sonst Investition zzgl. Spitzenlastkessel.</t>
        </r>
      </text>
    </comment>
    <comment ref="J69" authorId="0" shapeId="0" xr:uid="{00000000-0006-0000-0100-000012000000}">
      <text>
        <r>
          <rPr>
            <sz val="10"/>
            <rFont val="Arial"/>
            <family val="2"/>
          </rPr>
          <t>Prüfen, ob BHKW monovalent betrieben werden kann. Sonst Investition zzgl. Spitzenlastkessel.</t>
        </r>
      </text>
    </comment>
    <comment ref="J70" authorId="0" shapeId="0" xr:uid="{00000000-0006-0000-0100-000013000000}">
      <text>
        <r>
          <rPr>
            <sz val="10"/>
            <rFont val="Arial"/>
            <family val="2"/>
          </rPr>
          <t>Prüfen, ob BHKW monovalent betrieben werden kann. Sonst Investition zzgl. Spitzenlastkessel.</t>
        </r>
      </text>
    </comment>
    <comment ref="J71" authorId="0" shapeId="0" xr:uid="{00000000-0006-0000-0100-000014000000}">
      <text>
        <r>
          <rPr>
            <sz val="10"/>
            <rFont val="Arial"/>
            <family val="2"/>
          </rPr>
          <t>Prüfen, ob BHKW monovalent betrieben werden kann. Sonst Investition zzgl. Spitzenlastkessel.</t>
        </r>
      </text>
    </comment>
    <comment ref="J72" authorId="0" shapeId="0" xr:uid="{00000000-0006-0000-0100-000015000000}">
      <text>
        <r>
          <rPr>
            <sz val="10"/>
            <rFont val="Arial"/>
            <family val="2"/>
          </rPr>
          <t>Prüfen, ob BHKW monovalent betrieben werden kann. Sonst Investition zzgl. Spitzenlastkessel.</t>
        </r>
      </text>
    </comment>
    <comment ref="M76" authorId="1" shapeId="0" xr:uid="{CC1F021D-E788-4F52-A7BD-2DA85E71F866}">
      <text>
        <r>
          <rPr>
            <sz val="10"/>
            <color indexed="81"/>
            <rFont val="Arial"/>
            <family val="2"/>
          </rPr>
          <t>Flachkollektor: 20 a
Vakuum-Röhrenkollektor: 18 a
Vakuum-Flachkollektor: 15 a</t>
        </r>
      </text>
    </comment>
    <comment ref="F87" authorId="0" shapeId="0" xr:uid="{00000000-0006-0000-0100-00000A000000}">
      <text>
        <r>
          <rPr>
            <sz val="10"/>
            <rFont val="Arial"/>
            <family val="2"/>
          </rPr>
          <t>Kosten inkl. Montage, exkl. Gerüst, Zählererneuerung, Wallboxen, Leistungsoptimierer und Serviceleistungen</t>
        </r>
      </text>
    </comment>
    <comment ref="F93" authorId="0" shapeId="0" xr:uid="{00000000-0006-0000-0100-00000B000000}">
      <text>
        <r>
          <rPr>
            <sz val="10"/>
            <rFont val="Arial"/>
            <family val="2"/>
          </rPr>
          <t>Umstellung  einer  dezentralen  Heizanlage  auf  eine  zentrale  Versorgung  mit  Heizwärme  und  Warmwasser</t>
        </r>
      </text>
    </comment>
    <comment ref="F94" authorId="0" shapeId="0" xr:uid="{00000000-0006-0000-0100-00000C000000}">
      <text>
        <r>
          <rPr>
            <sz val="10"/>
            <rFont val="Arial"/>
            <family val="2"/>
          </rPr>
          <t>Maßnahmen in der Heizungsperipherie mit Fußbodenheizung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Aron Oehler</author>
  </authors>
  <commentList>
    <comment ref="B122" authorId="0" shapeId="0" xr:uid="{00000000-0006-0000-0200-000001000000}">
      <text>
        <r>
          <rPr>
            <sz val="10"/>
            <rFont val="Arial"/>
            <family val="2"/>
          </rPr>
          <t>exkl. Mwst.!</t>
        </r>
      </text>
    </comment>
    <comment ref="C122" authorId="0" shapeId="0" xr:uid="{00000000-0006-0000-0200-000003000000}">
      <text>
        <r>
          <rPr>
            <sz val="10"/>
            <rFont val="Arial"/>
            <family val="2"/>
          </rPr>
          <t>exkl. Mwst.!</t>
        </r>
      </text>
    </comment>
    <comment ref="B123" authorId="0" shapeId="0" xr:uid="{00000000-0006-0000-0200-000002000000}">
      <text>
        <r>
          <rPr>
            <sz val="10"/>
            <rFont val="Arial"/>
            <family val="2"/>
          </rPr>
          <t>exkl. MwSt.!</t>
        </r>
      </text>
    </comment>
    <comment ref="C123" authorId="0" shapeId="0" xr:uid="{00000000-0006-0000-0200-000004000000}">
      <text>
        <r>
          <rPr>
            <sz val="10"/>
            <rFont val="Arial"/>
            <family val="2"/>
          </rPr>
          <t>exkl. Mwst.!</t>
        </r>
      </text>
    </comment>
  </commentList>
</comments>
</file>

<file path=xl/sharedStrings.xml><?xml version="1.0" encoding="utf-8"?>
<sst xmlns="http://schemas.openxmlformats.org/spreadsheetml/2006/main" count="717" uniqueCount="359">
  <si>
    <t>Tool zur Kostenermittlung bei der energetischen Sanierung von Wohngebäuden</t>
  </si>
  <si>
    <t>Dieses Tool stellen wir Ihnen kostenlos zur Verfügung.</t>
  </si>
  <si>
    <t xml:space="preserve">Es darf nicht weitergegeben und auf anderen Servern zur Verfügung gestellt werden. Es steht frei zum Download unter </t>
  </si>
  <si>
    <t>www.solaroffice.de/downloads</t>
  </si>
  <si>
    <t>©2026 Alle Rechte bei ECONSULT Lambrecht Jungmann Partner</t>
  </si>
  <si>
    <t>Support</t>
  </si>
  <si>
    <t>Für die Verwendung dieses Tools können wir keinen Support anbieten. Wir bitten um Ihr Verständnis.</t>
  </si>
  <si>
    <t>Anwendung</t>
  </si>
  <si>
    <r>
      <rPr>
        <sz val="11"/>
        <color rgb="FF000000"/>
        <rFont val="Calibri"/>
        <family val="2"/>
        <charset val="1"/>
      </rPr>
      <t xml:space="preserve">Das Tool dient der Ermittlung der Kosten (Vollkosten und energetisch bedingte Mehrkosten) bei der energetischen Sanierung von Wohngebäuden. Sowohl für die Gebäudehülle als auch für die Anlagentechnik können Kosten für Sanierungsmaßnahmen ermittelt werden. Die ausgegebenen Kosten verstehen sich einschließlich Mehrwertsteuer. Datengrundlage für die Ermittlung der Kosten ist in weiten Teilen die Studie
</t>
    </r>
    <r>
      <rPr>
        <b/>
        <i/>
        <sz val="11"/>
        <color rgb="FF000000"/>
        <rFont val="Calibri"/>
        <family val="2"/>
        <charset val="1"/>
      </rPr>
      <t>Kosten energierelevanter Bau- und Anlagenteile bei der energetischen Modernisierung von Altbauten</t>
    </r>
    <r>
      <rPr>
        <sz val="11"/>
        <color rgb="FF000000"/>
        <rFont val="Calibri"/>
        <family val="2"/>
        <charset val="1"/>
      </rPr>
      <t>, herausgegeben vom Institut Wohnen und Umwelt GmbH (IWU).
Die Studie kann eingesehen werden unter</t>
    </r>
  </si>
  <si>
    <t>www.iwu.de/fileadmin/user_upload/dateien/energie/15_08_10_Kostenstudie_Bericht_-_Barrierefrei_-_neu.pdf</t>
  </si>
  <si>
    <t>(zuletzt abgerufen am 29.03.2026)</t>
  </si>
  <si>
    <t>Daneben werden noch weitere Quellen zur Ermittlung der Kosten herangezogen. Diese sind im Tabellenblatt "Daten" einsehbar.
Die im Tabellenblatt "Eingabe" gelb hinterlegten Felder sind veränderlich und von Nutzer entsprechend der geplanten Sanierungsmaßnahme auszufüllen. Zu beachten ist, dass die durch die Studie ermittelten
Kostenfunktionen nur im angegebenen Gültigkeitsbereich verwendet werden können.
Bei einer Eingabe außerhalb des Gültigkeitsbereichs wird der Hintergrund der ermittelten Kosten und der ausgewiesene Gültigkeitsbereich rot eingefärbt.</t>
  </si>
  <si>
    <t>Haftungsausschluss</t>
  </si>
  <si>
    <t>Dieses Tool wurde nach bestem Wissen und Gewissen und mit größtmöglicher Sorgfalt erstellt. Da Fehler jedoch nie auszuschließen sind, kann keine Gewähr für Vollständigkeit und Richtigkeit übernommen werden.Sie laden und verwenden diese Datei und alle Inhalte auf eigenes Risiko. Für Schäden, die auf Grund der Verwendung dieser Datei entstehen, kann keine Haftung übernommen werden.</t>
  </si>
  <si>
    <t>Herausgeber</t>
  </si>
  <si>
    <t>ECONSULT</t>
  </si>
  <si>
    <t>Lambrecht Jungmann und Partner</t>
  </si>
  <si>
    <t xml:space="preserve">Buchenweg 12, 72108 Rottenburg </t>
  </si>
  <si>
    <t>Inhaber: Klaus Lambrecht, Uli Jungmann, Aron Oehler (Juniorpartner)</t>
  </si>
  <si>
    <t xml:space="preserve">E-Mail: info@solaroffice.de </t>
  </si>
  <si>
    <t>Gebäudedaten</t>
  </si>
  <si>
    <t>© 2026 ECONSULT Lambrecht Jungmann und Partner | www.solaroffice.de</t>
  </si>
  <si>
    <t>Wohnfläche</t>
  </si>
  <si>
    <t>[m²]</t>
  </si>
  <si>
    <t>Anzahl Wohneinheiten</t>
  </si>
  <si>
    <t>[-]</t>
  </si>
  <si>
    <t>Hinweis: gelbe Felder sind Eingabefelder</t>
  </si>
  <si>
    <t>Wärmeerzeuger im Bestand</t>
  </si>
  <si>
    <t>Gaskessel</t>
  </si>
  <si>
    <t>Baualter Technik</t>
  </si>
  <si>
    <t>[a]</t>
  </si>
  <si>
    <t>Baualter Bauteil</t>
  </si>
  <si>
    <t>Preisindex</t>
  </si>
  <si>
    <t>Baupreisindex 2015 (Q1)</t>
  </si>
  <si>
    <t>Baupreisindex aktuell (DESTATIS)</t>
  </si>
  <si>
    <t>Link Baupreisindex</t>
  </si>
  <si>
    <t>Baupreisindex errechnet</t>
  </si>
  <si>
    <t>relativ zu 2015</t>
  </si>
  <si>
    <t>Ortsfaktor</t>
  </si>
  <si>
    <t>Link Ortsfaktor</t>
  </si>
  <si>
    <t>Gesamt</t>
  </si>
  <si>
    <t>Baunebenkosten</t>
  </si>
  <si>
    <t>0%, falls extern addiert</t>
  </si>
  <si>
    <t>Eingaben</t>
  </si>
  <si>
    <t>Bruttopreise, inkl. MwSt.</t>
  </si>
  <si>
    <t>Vollkosten</t>
  </si>
  <si>
    <t>Sowieso-Kosten</t>
  </si>
  <si>
    <t>energetisch bedingte Mehrkosten</t>
  </si>
  <si>
    <t>Geltungsbereich</t>
  </si>
  <si>
    <t>Lebensdauer der Bau- oder Anlagenteile</t>
  </si>
  <si>
    <t>Fenster und Türen</t>
  </si>
  <si>
    <t>von - bis</t>
  </si>
  <si>
    <t>Einheit</t>
  </si>
  <si>
    <t>Jahre</t>
  </si>
  <si>
    <t>Eingabe Fläche Einzelfenster:</t>
  </si>
  <si>
    <t>m²</t>
  </si>
  <si>
    <t>3WSV, Dreh/Kipp, Passivhaus EFH&amp;MFH für F&amp;Ft</t>
  </si>
  <si>
    <t>0,8 - 8,5</t>
  </si>
  <si>
    <t>m² Fläche Einzelfenster</t>
  </si>
  <si>
    <t>Eingabe Fensterfläche gesamt:</t>
  </si>
  <si>
    <t>3WSV, Dreh/Kipp, H/K konv. EFH&amp;MFH für F&amp;Ft</t>
  </si>
  <si>
    <t>0,8 - 8,6</t>
  </si>
  <si>
    <t>2WSV, Dreh/Kipp, H/K konv. EFH&amp;MFH für F&amp;Ft</t>
  </si>
  <si>
    <t>0,8 - 8,7</t>
  </si>
  <si>
    <t>Preis pro Fenster ca. 1 m² Bauteilfläche</t>
  </si>
  <si>
    <t>Dachflächenfenster EFH pro Fenster</t>
  </si>
  <si>
    <t>-</t>
  </si>
  <si>
    <t>Einzelfall prüfen</t>
  </si>
  <si>
    <t>Plausibilität prüfen</t>
  </si>
  <si>
    <t>Dachflächenfenster MFH pro Fenster</t>
  </si>
  <si>
    <t>Eingabe Fläche Haustür:</t>
  </si>
  <si>
    <t>Haustür EFH</t>
  </si>
  <si>
    <t>Haustür MFH</t>
  </si>
  <si>
    <t>Eingabe Fläche Innentür:</t>
  </si>
  <si>
    <t>Innentür zu unbeheiztem Raum inkl. Ausbau alter Tür</t>
  </si>
  <si>
    <t>Opake Bauteile</t>
  </si>
  <si>
    <t>Eingabe gedämmte Fläche:</t>
  </si>
  <si>
    <t>WDVS (zzgl. Gerüstkosten)</t>
  </si>
  <si>
    <t>8 - 25</t>
  </si>
  <si>
    <t>cm Dämmstoffstärke</t>
  </si>
  <si>
    <t>Dämmstoffdicke</t>
  </si>
  <si>
    <t>cm</t>
  </si>
  <si>
    <t>Außenwand - Kerndämmung</t>
  </si>
  <si>
    <t>4 - 10</t>
  </si>
  <si>
    <t>Wärmeleitfähigkeit (λ)</t>
  </si>
  <si>
    <t>W/mK</t>
  </si>
  <si>
    <t>Keller, unterseitig, ohne Bekleidung</t>
  </si>
  <si>
    <t>5 - 18</t>
  </si>
  <si>
    <t>Äqu. Dämmstoffdicke WLG 035:</t>
  </si>
  <si>
    <t>Keller, unterseitig, mit Bekleidung</t>
  </si>
  <si>
    <t>Keller, oberseitig, Einblasen zwischen die Dielen</t>
  </si>
  <si>
    <t>Bodenplatte</t>
  </si>
  <si>
    <t>Innenwand</t>
  </si>
  <si>
    <t>oberste Geschossdecke, begehbar</t>
  </si>
  <si>
    <t>8 - 30</t>
  </si>
  <si>
    <t>oberste Geschossdecke, nicht begehbar</t>
  </si>
  <si>
    <t>Flachdach ohne Lichtkuppeln</t>
  </si>
  <si>
    <t>6 - 34</t>
  </si>
  <si>
    <t>Flachdach mit Lichtkuppeln EFH</t>
  </si>
  <si>
    <t>Flachdach mit Lichtkuppel MFH</t>
  </si>
  <si>
    <t>Steildach</t>
  </si>
  <si>
    <t>9 - 29</t>
  </si>
  <si>
    <t>Eingabe  Fläche der Gaube(n):</t>
  </si>
  <si>
    <t>Steildachgauben im EFH ohne Fenster</t>
  </si>
  <si>
    <t>Steildachgauben im MFH ohne Fenster</t>
  </si>
  <si>
    <t>Eingabe Fläche Rollladen:</t>
  </si>
  <si>
    <t>Vorbaurollladen, Kunststoff, Gurt</t>
  </si>
  <si>
    <t>Vorbaurollladen, Kunststoff, Elektro</t>
  </si>
  <si>
    <t>Vorbaurollladen, Alu, Gurt</t>
  </si>
  <si>
    <t>Vorbaurollladen, Alu, Elektro</t>
  </si>
  <si>
    <t>Wärmeerzeuger</t>
  </si>
  <si>
    <t>Hinweis:</t>
  </si>
  <si>
    <t>80 - 2000</t>
  </si>
  <si>
    <t>m² Wohnfläche</t>
  </si>
  <si>
    <t>Die Sowieso-Kosten bei Wärmeerzeugungsanlagen sind die Kosten, die anfallen würden, wenn man den Bestandswärmeerzeuger erneut einbauen würde.</t>
  </si>
  <si>
    <t>80 - 1400</t>
  </si>
  <si>
    <t>80 - 400</t>
  </si>
  <si>
    <t>80 - 2500</t>
  </si>
  <si>
    <t>Anzahl der Elektro-Heizgeräte</t>
  </si>
  <si>
    <t>Stück</t>
  </si>
  <si>
    <t>Elektro-Direktheizgeräte</t>
  </si>
  <si>
    <t>0,4-3,0</t>
  </si>
  <si>
    <t>kW pro Gerät</t>
  </si>
  <si>
    <t>Elektro-Speicherheizung</t>
  </si>
  <si>
    <t>Blockheizkraftwerk</t>
  </si>
  <si>
    <r>
      <rPr>
        <sz val="11"/>
        <color rgb="FF000000"/>
        <rFont val="Calibri"/>
        <family val="2"/>
        <charset val="1"/>
      </rPr>
      <t>Eingabe kW</t>
    </r>
    <r>
      <rPr>
        <vertAlign val="subscript"/>
        <sz val="11"/>
        <color rgb="FF000000"/>
        <rFont val="Calibri"/>
        <family val="2"/>
        <charset val="1"/>
      </rPr>
      <t>el</t>
    </r>
    <r>
      <rPr>
        <sz val="11"/>
        <color rgb="FF000000"/>
        <rFont val="Calibri"/>
        <family val="2"/>
        <charset val="1"/>
      </rPr>
      <t xml:space="preserve"> BHKW:</t>
    </r>
  </si>
  <si>
    <r>
      <rPr>
        <sz val="11"/>
        <color rgb="FF000000"/>
        <rFont val="Calibri"/>
        <family val="2"/>
        <charset val="1"/>
      </rPr>
      <t>kW</t>
    </r>
    <r>
      <rPr>
        <vertAlign val="subscript"/>
        <sz val="11"/>
        <color rgb="FF000000"/>
        <rFont val="Calibri"/>
        <family val="2"/>
        <charset val="1"/>
      </rPr>
      <t>el</t>
    </r>
  </si>
  <si>
    <t>BHKW – Erdgas</t>
  </si>
  <si>
    <t>1 – 19.000</t>
  </si>
  <si>
    <t>kW elektr. Leistung</t>
  </si>
  <si>
    <t>BHKW – Biogas</t>
  </si>
  <si>
    <t>10 – 9.000</t>
  </si>
  <si>
    <t>BHKW – Klärgas</t>
  </si>
  <si>
    <t>10 – 4.000</t>
  </si>
  <si>
    <t>BHKW – Flüssiggas</t>
  </si>
  <si>
    <t>1 – 1.000</t>
  </si>
  <si>
    <t>BHKW – Heizöl</t>
  </si>
  <si>
    <t>1 – 100</t>
  </si>
  <si>
    <t>Wärmeerzeuger + Solarthermie</t>
  </si>
  <si>
    <t>Kollektorbruttofläche WW:</t>
  </si>
  <si>
    <t>Solar für WW, Einzelmaßnahme</t>
  </si>
  <si>
    <t>100 - 2500</t>
  </si>
  <si>
    <t>Standardwert aus DIN V 18599-8:2011-12 für</t>
  </si>
  <si>
    <t>Solar für WW mit Gaskessel</t>
  </si>
  <si>
    <t>100 - 2300</t>
  </si>
  <si>
    <t>solare TW-Anlage WW:</t>
  </si>
  <si>
    <t>Solar für WW mit Ölkessel</t>
  </si>
  <si>
    <t>Solar für WW mit Pelletkessel</t>
  </si>
  <si>
    <t>130 - 400</t>
  </si>
  <si>
    <t>Kollektorbruttofläche WW&amp;H:</t>
  </si>
  <si>
    <t>Solar für WW&amp;H, Einzelmaßnahme</t>
  </si>
  <si>
    <t>100 - 800</t>
  </si>
  <si>
    <t>Solar für WW&amp;H mit Gaskessel</t>
  </si>
  <si>
    <t>100 - 1900</t>
  </si>
  <si>
    <t>solare Kombianlage WW&amp;H:</t>
  </si>
  <si>
    <t>Solar für WW&amp;H mit Ölkessel</t>
  </si>
  <si>
    <t>Solar für WW&amp;H mit Pelletkessel</t>
  </si>
  <si>
    <t>100 - 400</t>
  </si>
  <si>
    <t>Photovoltaik-Anlage</t>
  </si>
  <si>
    <r>
      <rPr>
        <sz val="11"/>
        <color rgb="FF000000"/>
        <rFont val="Calibri"/>
        <family val="2"/>
        <charset val="1"/>
      </rPr>
      <t>Eingabe kW</t>
    </r>
    <r>
      <rPr>
        <vertAlign val="subscript"/>
        <sz val="11"/>
        <color rgb="FF000000"/>
        <rFont val="Calibri"/>
        <family val="2"/>
        <charset val="1"/>
      </rPr>
      <t>p</t>
    </r>
    <r>
      <rPr>
        <sz val="11"/>
        <color rgb="FF000000"/>
        <rFont val="Calibri"/>
        <family val="2"/>
        <charset val="1"/>
      </rPr>
      <t xml:space="preserve"> (PV-Anlage):</t>
    </r>
  </si>
  <si>
    <r>
      <rPr>
        <sz val="11"/>
        <color rgb="FF000000"/>
        <rFont val="Calibri"/>
        <family val="2"/>
        <charset val="1"/>
      </rPr>
      <t>kW</t>
    </r>
    <r>
      <rPr>
        <vertAlign val="subscript"/>
        <sz val="11"/>
        <color rgb="FF000000"/>
        <rFont val="Calibri"/>
        <family val="2"/>
        <charset val="1"/>
      </rPr>
      <t>p</t>
    </r>
  </si>
  <si>
    <t>PV-Anlage ohne Speicher</t>
  </si>
  <si>
    <t>3 - 40</t>
  </si>
  <si>
    <t>kWp</t>
  </si>
  <si>
    <t>Eingabe kWh (Stromspeicher):</t>
  </si>
  <si>
    <t>kWh</t>
  </si>
  <si>
    <t>Stromspeicher PV-Anlage</t>
  </si>
  <si>
    <t>weitere technische Gebäudeausrüstung</t>
  </si>
  <si>
    <t>Maßnahmen in der Heizungsperipherie</t>
  </si>
  <si>
    <t>Heizungsperipherie mit Fußbodenheizung</t>
  </si>
  <si>
    <t>Hausanschluss Gas</t>
  </si>
  <si>
    <t>80 - 1800</t>
  </si>
  <si>
    <t>Hausanschluss Fernwärme</t>
  </si>
  <si>
    <t>Eingabe Anzahl Heizkörper bzw. FBH</t>
  </si>
  <si>
    <t>hydr. Abgleich mit neuen Ventilen  und Thermostaten</t>
  </si>
  <si>
    <t>Heizkörpertausch</t>
  </si>
  <si>
    <t>Lüftungsanlage mit WRG, zentral</t>
  </si>
  <si>
    <t xml:space="preserve">Anzahl der dezent. Lüftungsanlagen </t>
  </si>
  <si>
    <t>Stück je Wohneinheit</t>
  </si>
  <si>
    <t>Lüftungsanlage mit WRG, dezentral</t>
  </si>
  <si>
    <t>Abluftanlage, zentral</t>
  </si>
  <si>
    <t>Zu-/ Abluftanlage mit Wärmepumpe</t>
  </si>
  <si>
    <t>sonstige Bauleistungen</t>
  </si>
  <si>
    <t>Gerüste</t>
  </si>
  <si>
    <t>50 - 2500</t>
  </si>
  <si>
    <t>Energieberatung</t>
  </si>
  <si>
    <t>1 - 8</t>
  </si>
  <si>
    <t>Wohneinheiten</t>
  </si>
  <si>
    <t>Energieberatung Wohnungseigentümergemeinschaft</t>
  </si>
  <si>
    <t>3 - 8</t>
  </si>
  <si>
    <t>Architektenleistungen</t>
  </si>
  <si>
    <t>Datengrundlage für alle Angaben, bei denen keine andere Quelle genannt ist: "Kosten energierelevanter Bau- und Anlagenteile"; IWU 2015; im Auftrag des Bundesministerium für Umwelt, Naturschutz, Bau und Reaktorsicherheit bei der energetischen Modernisierung von Altbauten"</t>
  </si>
  <si>
    <t>Berechnung laut Zeile 7, sofern nicht anders angegeben</t>
  </si>
  <si>
    <t>Schätzwert</t>
  </si>
  <si>
    <t>95% Untere</t>
  </si>
  <si>
    <t>95% Obere</t>
  </si>
  <si>
    <t>a</t>
  </si>
  <si>
    <t>b</t>
  </si>
  <si>
    <t>[€/(m²cm)]</t>
  </si>
  <si>
    <t>[€/m²]</t>
  </si>
  <si>
    <t xml:space="preserve"> [-]</t>
  </si>
  <si>
    <t>I = (a x + b) [€/m²]</t>
  </si>
  <si>
    <t>I = a x^b [€/m²]</t>
  </si>
  <si>
    <t>Fenster und Türen – Fenster</t>
  </si>
  <si>
    <t>[€/ m² Bauteil]</t>
  </si>
  <si>
    <t>Fenster und Türen – Dachflächenfenster</t>
  </si>
  <si>
    <t>Fenster und Türen – Türen</t>
  </si>
  <si>
    <t>II.2023</t>
  </si>
  <si>
    <t>Faktor relativ zu 2015</t>
  </si>
  <si>
    <t>MwSt</t>
  </si>
  <si>
    <t>Datengrundlage: Eigene</t>
  </si>
  <si>
    <t>WDVS - energiebed. Mehrkosten</t>
  </si>
  <si>
    <t>Datengrundlage: 18 € Einbau Estrich; 17 € Abbruch Estrich; 12 € Grundkosten Dämmung zzgl. 1,04 €/cm/m²; Indizierung auf Jahr 2015: 110,6/99,2</t>
  </si>
  <si>
    <t>Flachdach - energiebedingte Mehrkosten</t>
  </si>
  <si>
    <t>Steildach - energiebedingte Mehrkosten</t>
  </si>
  <si>
    <t>[€/ m² WF]</t>
  </si>
  <si>
    <t>Ölkessel, Einzelmaßnahme</t>
  </si>
  <si>
    <t>Gas/Ölkessel als Einzelmaßnahme</t>
  </si>
  <si>
    <t xml:space="preserve"> k = 162,95  X0</t>
  </si>
  <si>
    <t>Datengrundlage: Investitionskostenfunktionen TGA S, 16</t>
  </si>
  <si>
    <t>k = 261,51  X0</t>
  </si>
  <si>
    <t>Rechenvorschrift</t>
  </si>
  <si>
    <t>[€/m² WF]</t>
  </si>
  <si>
    <t>Berechnung</t>
  </si>
  <si>
    <r>
      <rPr>
        <sz val="11"/>
        <color rgb="FF000000"/>
        <rFont val="Calibri"/>
        <family val="2"/>
        <charset val="1"/>
      </rPr>
      <t xml:space="preserve">[€/kW </t>
    </r>
    <r>
      <rPr>
        <sz val="6.5"/>
        <color rgb="FF000000"/>
        <rFont val="Calibri"/>
        <family val="2"/>
        <charset val="1"/>
      </rPr>
      <t>Heizlast</t>
    </r>
    <r>
      <rPr>
        <sz val="10"/>
        <color rgb="FF000000"/>
        <rFont val="Calibri"/>
        <family val="2"/>
        <charset val="1"/>
      </rPr>
      <t>] – Kostenstand 2024</t>
    </r>
  </si>
  <si>
    <t>Ifeu 2026, Kostenstand 2024</t>
  </si>
  <si>
    <r>
      <rPr>
        <sz val="11"/>
        <color rgb="FF000000"/>
        <rFont val="Calibri"/>
        <family val="2"/>
        <charset val="1"/>
      </rPr>
      <t>[€/kW</t>
    </r>
    <r>
      <rPr>
        <vertAlign val="subscript"/>
        <sz val="11"/>
        <color rgb="FF000000"/>
        <rFont val="Calibri"/>
        <family val="2"/>
        <charset val="1"/>
      </rPr>
      <t>el</t>
    </r>
    <r>
      <rPr>
        <sz val="11"/>
        <color rgb="FF000000"/>
        <rFont val="Calibri"/>
        <family val="2"/>
        <charset val="1"/>
      </rPr>
      <t>]</t>
    </r>
  </si>
  <si>
    <r>
      <rPr>
        <sz val="11"/>
        <color rgb="FF000000"/>
        <rFont val="Calibri"/>
        <family val="2"/>
        <charset val="1"/>
      </rPr>
      <t>l = a x^b [€/ kW</t>
    </r>
    <r>
      <rPr>
        <vertAlign val="subscript"/>
        <sz val="11"/>
        <color rgb="FF000000"/>
        <rFont val="Calibri"/>
        <family val="2"/>
        <charset val="1"/>
      </rPr>
      <t>el</t>
    </r>
    <r>
      <rPr>
        <sz val="11"/>
        <color rgb="FF000000"/>
        <rFont val="Calibri"/>
        <family val="2"/>
        <charset val="1"/>
      </rPr>
      <t>]</t>
    </r>
  </si>
  <si>
    <t>Modulkosten</t>
  </si>
  <si>
    <r>
      <rPr>
        <sz val="11"/>
        <color rgb="FF000000"/>
        <rFont val="Calibri"/>
        <family val="2"/>
        <charset val="1"/>
      </rPr>
      <t>BHKW – Erdgas für 1 – 10 kW</t>
    </r>
    <r>
      <rPr>
        <vertAlign val="subscript"/>
        <sz val="11"/>
        <color rgb="FF000000"/>
        <rFont val="Calibri"/>
        <family val="2"/>
        <charset val="1"/>
      </rPr>
      <t>el</t>
    </r>
  </si>
  <si>
    <t>Datengrundlage: ASUE Arbeitsgemeinschaft für sparsamen und umweltfreundlichen Energieverbrauch e.V.; BHKW-Kenndaten 2014/2015; http://www.asue.de/blockheizkraftwerke/broschueren/05_10_14_bhkw-kenndaten_2014-15</t>
  </si>
  <si>
    <r>
      <rPr>
        <sz val="11"/>
        <color rgb="FF000000"/>
        <rFont val="Calibri"/>
        <family val="2"/>
        <charset val="1"/>
      </rPr>
      <t>BHKW – Erdgas für 10 – 100 kW</t>
    </r>
    <r>
      <rPr>
        <vertAlign val="subscript"/>
        <sz val="11"/>
        <color rgb="FF000000"/>
        <rFont val="Calibri"/>
        <family val="2"/>
        <charset val="1"/>
      </rPr>
      <t>el</t>
    </r>
  </si>
  <si>
    <r>
      <rPr>
        <sz val="11"/>
        <color rgb="FF000000"/>
        <rFont val="Calibri"/>
        <family val="2"/>
        <charset val="1"/>
      </rPr>
      <t>BHKW – Erdgas für 100 – 1.000 kW</t>
    </r>
    <r>
      <rPr>
        <vertAlign val="subscript"/>
        <sz val="11"/>
        <color rgb="FF000000"/>
        <rFont val="Calibri"/>
        <family val="2"/>
        <charset val="1"/>
      </rPr>
      <t>el</t>
    </r>
  </si>
  <si>
    <r>
      <rPr>
        <sz val="11"/>
        <color rgb="FF000000"/>
        <rFont val="Calibri"/>
        <family val="2"/>
        <charset val="1"/>
      </rPr>
      <t>BHKW – Erdgas für 1.000 – 19.000 kW</t>
    </r>
    <r>
      <rPr>
        <vertAlign val="subscript"/>
        <sz val="11"/>
        <color rgb="FF000000"/>
        <rFont val="Calibri"/>
        <family val="2"/>
        <charset val="1"/>
      </rPr>
      <t>el</t>
    </r>
  </si>
  <si>
    <r>
      <rPr>
        <sz val="11"/>
        <color rgb="FF000000"/>
        <rFont val="Calibri"/>
        <family val="2"/>
        <charset val="1"/>
      </rPr>
      <t>BHKW – Biogas für 1 – 10 kW</t>
    </r>
    <r>
      <rPr>
        <vertAlign val="subscript"/>
        <sz val="11"/>
        <color rgb="FF000000"/>
        <rFont val="Calibri"/>
        <family val="2"/>
        <charset val="1"/>
      </rPr>
      <t>el</t>
    </r>
  </si>
  <si>
    <r>
      <rPr>
        <sz val="11"/>
        <color rgb="FF000000"/>
        <rFont val="Calibri"/>
        <family val="2"/>
        <charset val="1"/>
      </rPr>
      <t>BHKW – Biogas für 10 – 100 kW</t>
    </r>
    <r>
      <rPr>
        <vertAlign val="subscript"/>
        <sz val="11"/>
        <color rgb="FF000000"/>
        <rFont val="Calibri"/>
        <family val="2"/>
        <charset val="1"/>
      </rPr>
      <t>el</t>
    </r>
  </si>
  <si>
    <r>
      <rPr>
        <sz val="11"/>
        <color rgb="FF000000"/>
        <rFont val="Calibri"/>
        <family val="2"/>
        <charset val="1"/>
      </rPr>
      <t>BHKW – Biogas für 100 – 1.000 kW</t>
    </r>
    <r>
      <rPr>
        <vertAlign val="subscript"/>
        <sz val="11"/>
        <color rgb="FF000000"/>
        <rFont val="Calibri"/>
        <family val="2"/>
        <charset val="1"/>
      </rPr>
      <t>el</t>
    </r>
  </si>
  <si>
    <r>
      <rPr>
        <sz val="11"/>
        <color rgb="FF000000"/>
        <rFont val="Calibri"/>
        <family val="2"/>
        <charset val="1"/>
      </rPr>
      <t>BHKW – Biogas für 1.000 – 19.000 kW</t>
    </r>
    <r>
      <rPr>
        <vertAlign val="subscript"/>
        <sz val="11"/>
        <color rgb="FF000000"/>
        <rFont val="Calibri"/>
        <family val="2"/>
        <charset val="1"/>
      </rPr>
      <t>el</t>
    </r>
  </si>
  <si>
    <r>
      <rPr>
        <sz val="11"/>
        <color rgb="FF000000"/>
        <rFont val="Calibri"/>
        <family val="2"/>
        <charset val="1"/>
      </rPr>
      <t>BHKW – Klärgas für 1 – 10 kW</t>
    </r>
    <r>
      <rPr>
        <vertAlign val="subscript"/>
        <sz val="11"/>
        <color rgb="FF000000"/>
        <rFont val="Calibri"/>
        <family val="2"/>
        <charset val="1"/>
      </rPr>
      <t>el</t>
    </r>
  </si>
  <si>
    <r>
      <rPr>
        <sz val="11"/>
        <color rgb="FF000000"/>
        <rFont val="Calibri"/>
        <family val="2"/>
        <charset val="1"/>
      </rPr>
      <t>BHKW – Klärgas für 10 – 100 kW</t>
    </r>
    <r>
      <rPr>
        <vertAlign val="subscript"/>
        <sz val="11"/>
        <color rgb="FF000000"/>
        <rFont val="Calibri"/>
        <family val="2"/>
        <charset val="1"/>
      </rPr>
      <t>el</t>
    </r>
  </si>
  <si>
    <r>
      <rPr>
        <sz val="11"/>
        <color rgb="FF000000"/>
        <rFont val="Calibri"/>
        <family val="2"/>
        <charset val="1"/>
      </rPr>
      <t>BHKW – Klärgas für 100 – 1.000 kW</t>
    </r>
    <r>
      <rPr>
        <vertAlign val="subscript"/>
        <sz val="11"/>
        <color rgb="FF000000"/>
        <rFont val="Calibri"/>
        <family val="2"/>
        <charset val="1"/>
      </rPr>
      <t>el</t>
    </r>
  </si>
  <si>
    <r>
      <rPr>
        <sz val="11"/>
        <color rgb="FF000000"/>
        <rFont val="Calibri"/>
        <family val="2"/>
        <charset val="1"/>
      </rPr>
      <t>BHKW – Klärgas für 1.000 – 19.000 kW</t>
    </r>
    <r>
      <rPr>
        <vertAlign val="subscript"/>
        <sz val="11"/>
        <color rgb="FF000000"/>
        <rFont val="Calibri"/>
        <family val="2"/>
        <charset val="1"/>
      </rPr>
      <t>el</t>
    </r>
  </si>
  <si>
    <r>
      <rPr>
        <sz val="11"/>
        <color rgb="FF000000"/>
        <rFont val="Calibri"/>
        <family val="2"/>
        <charset val="1"/>
      </rPr>
      <t>BHKW – Flüssiggas für 1 – 10 kW</t>
    </r>
    <r>
      <rPr>
        <vertAlign val="subscript"/>
        <sz val="11"/>
        <color rgb="FF000000"/>
        <rFont val="Calibri"/>
        <family val="2"/>
        <charset val="1"/>
      </rPr>
      <t>el</t>
    </r>
  </si>
  <si>
    <r>
      <rPr>
        <sz val="11"/>
        <color rgb="FF000000"/>
        <rFont val="Calibri"/>
        <family val="2"/>
        <charset val="1"/>
      </rPr>
      <t>BHKW – Flüssiggas für 10 – 100 kW</t>
    </r>
    <r>
      <rPr>
        <vertAlign val="subscript"/>
        <sz val="11"/>
        <color rgb="FF000000"/>
        <rFont val="Calibri"/>
        <family val="2"/>
        <charset val="1"/>
      </rPr>
      <t>el</t>
    </r>
  </si>
  <si>
    <r>
      <rPr>
        <sz val="11"/>
        <color rgb="FF000000"/>
        <rFont val="Calibri"/>
        <family val="2"/>
        <charset val="1"/>
      </rPr>
      <t>BHKW – Flüssiggas für 100 – 1.000 kW</t>
    </r>
    <r>
      <rPr>
        <vertAlign val="subscript"/>
        <sz val="11"/>
        <color rgb="FF000000"/>
        <rFont val="Calibri"/>
        <family val="2"/>
        <charset val="1"/>
      </rPr>
      <t>el</t>
    </r>
  </si>
  <si>
    <r>
      <rPr>
        <sz val="11"/>
        <color rgb="FF000000"/>
        <rFont val="Calibri"/>
        <family val="2"/>
        <charset val="1"/>
      </rPr>
      <t>BHKW – Flüssiggas für 1.000 – 19.000 kW</t>
    </r>
    <r>
      <rPr>
        <vertAlign val="subscript"/>
        <sz val="11"/>
        <color rgb="FF000000"/>
        <rFont val="Calibri"/>
        <family val="2"/>
        <charset val="1"/>
      </rPr>
      <t>el</t>
    </r>
  </si>
  <si>
    <r>
      <rPr>
        <sz val="11"/>
        <color rgb="FF000000"/>
        <rFont val="Calibri"/>
        <family val="2"/>
        <charset val="1"/>
      </rPr>
      <t>BHKW – Heizöl für 1 – 10 kW</t>
    </r>
    <r>
      <rPr>
        <vertAlign val="subscript"/>
        <sz val="11"/>
        <color rgb="FF000000"/>
        <rFont val="Calibri"/>
        <family val="2"/>
        <charset val="1"/>
      </rPr>
      <t>el</t>
    </r>
  </si>
  <si>
    <r>
      <rPr>
        <sz val="11"/>
        <color rgb="FF000000"/>
        <rFont val="Calibri"/>
        <family val="2"/>
        <charset val="1"/>
      </rPr>
      <t>BHKW – Heizöl für 10 – 100 kW</t>
    </r>
    <r>
      <rPr>
        <vertAlign val="subscript"/>
        <sz val="11"/>
        <color rgb="FF000000"/>
        <rFont val="Calibri"/>
        <family val="2"/>
        <charset val="1"/>
      </rPr>
      <t>el</t>
    </r>
  </si>
  <si>
    <r>
      <rPr>
        <sz val="11"/>
        <color rgb="FF000000"/>
        <rFont val="Calibri"/>
        <family val="2"/>
        <charset val="1"/>
      </rPr>
      <t>BHKW – Heizöl für 100 – 1.000 kW</t>
    </r>
    <r>
      <rPr>
        <vertAlign val="subscript"/>
        <sz val="11"/>
        <color rgb="FF000000"/>
        <rFont val="Calibri"/>
        <family val="2"/>
        <charset val="1"/>
      </rPr>
      <t>el</t>
    </r>
  </si>
  <si>
    <r>
      <rPr>
        <sz val="11"/>
        <color rgb="FF000000"/>
        <rFont val="Calibri"/>
        <family val="2"/>
        <charset val="1"/>
      </rPr>
      <t>BHKW – Heizöl für 1.000 – 19.000 kW</t>
    </r>
    <r>
      <rPr>
        <vertAlign val="subscript"/>
        <sz val="11"/>
        <color rgb="FF000000"/>
        <rFont val="Calibri"/>
        <family val="2"/>
        <charset val="1"/>
      </rPr>
      <t>el</t>
    </r>
  </si>
  <si>
    <t>Installation (Zusatzkosten BHKW in %)</t>
  </si>
  <si>
    <t>Transport bis Abnahme</t>
  </si>
  <si>
    <t>Einbindung</t>
  </si>
  <si>
    <r>
      <rPr>
        <sz val="11"/>
        <color rgb="FF000000"/>
        <rFont val="Calibri"/>
        <family val="2"/>
        <charset val="1"/>
      </rPr>
      <t>Elektrische Leistung in kW</t>
    </r>
    <r>
      <rPr>
        <vertAlign val="subscript"/>
        <sz val="11"/>
        <color rgb="FF000000"/>
        <rFont val="Calibri"/>
        <family val="2"/>
        <charset val="1"/>
      </rPr>
      <t>el</t>
    </r>
  </si>
  <si>
    <t>kleiner</t>
  </si>
  <si>
    <t>zwischen … und …</t>
  </si>
  <si>
    <t>„&lt;“10</t>
  </si>
  <si>
    <t>„&lt;“100</t>
  </si>
  <si>
    <t>„&lt;“350</t>
  </si>
  <si>
    <t>„&lt;“500</t>
  </si>
  <si>
    <t>„&lt;“750</t>
  </si>
  <si>
    <t>„&lt;“1000</t>
  </si>
  <si>
    <t>„&lt;“1500</t>
  </si>
  <si>
    <t>„&lt;“5000</t>
  </si>
  <si>
    <t>größer</t>
  </si>
  <si>
    <t>Datengrundlage: Universität Kassel, Institut für Thermische Energietechnik</t>
  </si>
  <si>
    <t>l = a x^b [€/m²]</t>
  </si>
  <si>
    <t>[€/ m² Kollektorbruttofläche]</t>
  </si>
  <si>
    <t>Synergie durch gemeinsame Installation Solar WW</t>
  </si>
  <si>
    <t>Pauschale Einsparung:</t>
  </si>
  <si>
    <t>der Investitionskosten aus der Summer der Einzelmaßnahmen</t>
  </si>
  <si>
    <t>Datengrundlage: eigene</t>
  </si>
  <si>
    <t>Synergie durch gemeinsame Installation Solar WW+H</t>
  </si>
  <si>
    <t>Datengrundlage: PV-Netzwerk BW, Datenauswertung PV-Kosten für die Jahre 2024, 2025; Stand Okt. 2025
Kostenangaben inklusive Montagekosten, exklusive Kosten für Zählererneuerung, Wallboxen, Leistungsoptimierer, Wandlermessung, Gerüst und Serviceleistungen.</t>
  </si>
  <si>
    <t>l = a*x^b * Mwst [€/kWp]</t>
  </si>
  <si>
    <t>[€/kWp]</t>
  </si>
  <si>
    <t>Nettopreis! Ergebnis ist um Mwst. zu beaufschlagen</t>
  </si>
  <si>
    <t>Laut tzwl Kosten pro Gerät</t>
  </si>
  <si>
    <t>Datengrundlage: https://tzwl.de/endkunden/infoportal-wohnungslueftung/10-fragen-zu-l%C3%BCftung</t>
  </si>
  <si>
    <t>IWU S. 60</t>
  </si>
  <si>
    <t>[€/m² WF je Wohnung]</t>
  </si>
  <si>
    <t>max.</t>
  </si>
  <si>
    <t>Montagekosten</t>
  </si>
  <si>
    <t>Kanalsystem Kosten pro Wohneinheit</t>
  </si>
  <si>
    <t>ehemals:</t>
  </si>
  <si>
    <t>[€/Heizkörper bzw. FBH] pauschal 500 € + 90 € je Heizkörper bzw FBH für Ventil und Thermostatkopf</t>
  </si>
  <si>
    <t>hydraulischer Abgleich mit neuen Ventilen und Thermostat</t>
  </si>
  <si>
    <t>Aus Studie: mit Thermostatventilen, bezogen auf echte beheizte Fläche</t>
  </si>
  <si>
    <t>k = 8,87  X-0,1412</t>
  </si>
  <si>
    <t>Studie TGA Jagnow</t>
  </si>
  <si>
    <t>zwischen 100 und 2000 m²</t>
  </si>
  <si>
    <t>Baupreisindexanpassung auf 2015</t>
  </si>
  <si>
    <t xml:space="preserve">Datengrundlage: BMVBS-Online_Publikation 07/2012  https://www.bbsr.bund.de/BBSR/DE/veroeffentlichungen/ministerien/bmvbs/bmvbs-online/2012/DL_ON072012.pdf?__blob=publicationFile&amp;v=2 </t>
  </si>
  <si>
    <t>Heizkörpertausch (pro Stück)</t>
  </si>
  <si>
    <t>Datenstand 2023, indiziert auf 2015; Datengrundlage: Wärmepumpen in Bestandsgebäuden, Teil 2 GEB April 2025 https://www.geb-info.de/node/239051/print</t>
  </si>
  <si>
    <t>Pauschal:</t>
  </si>
  <si>
    <t xml:space="preserve">Datengrundlage: eigene (Preisstand 2015)
https://www.bfee-online.de/BfEE/DE/Energiedienstleistungen/Marktkennzahlen/marktkennzahlen_node.html  </t>
  </si>
  <si>
    <t>für EFH / ZFH</t>
  </si>
  <si>
    <t>für MFH mit 3 bis 8 Wohneinheiten</t>
  </si>
  <si>
    <t>für Energieberatung in Wohnungseigentümergemeinschaften</t>
  </si>
  <si>
    <t xml:space="preserve">Dropdownliste Auswahl Kessel im Bestand: </t>
  </si>
  <si>
    <t>Ölkessel</t>
  </si>
  <si>
    <t>Pelletkessel</t>
  </si>
  <si>
    <t>Fernwärme</t>
  </si>
  <si>
    <t>Wärmepumpe (Erdkollektor)</t>
  </si>
  <si>
    <t>Wärmepumpe (Erdsonde)</t>
  </si>
  <si>
    <t>Wärmepumpe (Luft)</t>
  </si>
  <si>
    <t>€/m²</t>
  </si>
  <si>
    <t>€/m</t>
  </si>
  <si>
    <t>SIZ WPsource Datenblätter 2022</t>
  </si>
  <si>
    <t>[€/ Einheit]</t>
  </si>
  <si>
    <t>[€ / Maßnahme]</t>
  </si>
  <si>
    <t>5-50</t>
  </si>
  <si>
    <t>Wärmepumpe Luft-Wasser nach Heizlast</t>
  </si>
  <si>
    <t>n</t>
  </si>
  <si>
    <t>Leistung*a*(Leistung)^n</t>
  </si>
  <si>
    <t>kW</t>
  </si>
  <si>
    <t>Anzahl Luft-Luft-WP</t>
  </si>
  <si>
    <t>1-50</t>
  </si>
  <si>
    <t>1 ≤ x &lt; 5</t>
  </si>
  <si>
    <t>5 ≤ x &lt; 10</t>
  </si>
  <si>
    <t>10 ≤ x &lt; 15</t>
  </si>
  <si>
    <t>15 ≤ x &lt; 20</t>
  </si>
  <si>
    <t>x ≥ 20</t>
  </si>
  <si>
    <t>Leistungsbereich [kW]</t>
  </si>
  <si>
    <t>[€]</t>
  </si>
  <si>
    <t>[€/m² Wohnfläche]</t>
  </si>
  <si>
    <t>[€/m² Bauteil]</t>
  </si>
  <si>
    <r>
      <t>[€/kW</t>
    </r>
    <r>
      <rPr>
        <b/>
        <vertAlign val="subscript"/>
        <sz val="11"/>
        <color rgb="FF000000"/>
        <rFont val="Calibri"/>
        <family val="2"/>
        <charset val="1"/>
      </rPr>
      <t>el</t>
    </r>
    <r>
      <rPr>
        <b/>
        <sz val="11"/>
        <color rgb="FF000000"/>
        <rFont val="Calibri"/>
        <family val="2"/>
        <charset val="1"/>
      </rPr>
      <t>]</t>
    </r>
  </si>
  <si>
    <t>[€/kWh]</t>
  </si>
  <si>
    <r>
      <t>[€/kW</t>
    </r>
    <r>
      <rPr>
        <b/>
        <vertAlign val="subscript"/>
        <sz val="11"/>
        <color rgb="FF000000"/>
        <rFont val="Calibri"/>
        <family val="2"/>
        <charset val="1"/>
      </rPr>
      <t>p</t>
    </r>
    <r>
      <rPr>
        <b/>
        <sz val="11"/>
        <color rgb="FF000000"/>
        <rFont val="Calibri"/>
        <family val="2"/>
        <charset val="1"/>
      </rPr>
      <t>]</t>
    </r>
  </si>
  <si>
    <t>[€/ Maßnahme]</t>
  </si>
  <si>
    <t>[€/ Wohneinheit]</t>
  </si>
  <si>
    <t>[€/  Maßnahme]</t>
  </si>
  <si>
    <t>[€/ Leistung]</t>
  </si>
  <si>
    <t>[€/kW Heizlast]</t>
  </si>
  <si>
    <t>Heizlast (DIN EN 12831 Bbl 2)</t>
  </si>
  <si>
    <t>Stück    kW je Gerät</t>
  </si>
  <si>
    <t>Klimageräte (Luft-Luft-Wärmepumpe) nach Heizlast</t>
  </si>
  <si>
    <t>Wärmequelle Flächenkollektor:</t>
  </si>
  <si>
    <t>Wärmequelle Erdsonden:</t>
  </si>
  <si>
    <t xml:space="preserve">Wärmequelle Brunnen: </t>
  </si>
  <si>
    <t>W/m² Entzugsleistung</t>
  </si>
  <si>
    <t>W/m Entzugsleistung</t>
  </si>
  <si>
    <t>m Brunnentiefe</t>
  </si>
  <si>
    <t>WP Sole-Wasser mit Flächenkollektor nach Heizlast</t>
  </si>
  <si>
    <t>WP Sole-Wasser mit Erdsonden nach Heizlast</t>
  </si>
  <si>
    <t>WP Wasser-Wasser mit Brunnen nach Heizlast</t>
  </si>
  <si>
    <t>Erdkollektor</t>
  </si>
  <si>
    <t>Brunnen</t>
  </si>
  <si>
    <t>Wärmequellen</t>
  </si>
  <si>
    <t>Erdsonde</t>
  </si>
  <si>
    <t>Wärmepumpe Sole-Wasser nach Heizlast</t>
  </si>
  <si>
    <t>Wärmepumpe Wasser-Wasser nach Heizlast</t>
  </si>
  <si>
    <t>Dropdownliste Kosten</t>
  </si>
  <si>
    <t>[€/Bauteil]</t>
  </si>
  <si>
    <t>Eingabe Anzahl Heizkörper</t>
  </si>
  <si>
    <t>komplett beheizt mit Klimageräten (Luft-Luft-Wärmepumpe)</t>
  </si>
  <si>
    <t>Kostentool für die energetische Gebäudesanierung von Wohngebäuden V1.51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</si>
</sst>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 #,##0.00\ &quot;€&quot;_-;\-* #,##0.00\ &quot;€&quot;_-;_-* &quot;-&quot;??\ &quot;€&quot;_-;_-@_-"/>
    <numFmt numFmtId="164" formatCode="#,##0.00\ [$€-407];[Red]\-#,##0.00\ [$€-407]"/>
    <numFmt numFmtId="165" formatCode="0.0"/>
    <numFmt numFmtId="166" formatCode="0.000"/>
    <numFmt numFmtId="167" formatCode="0\ %"/>
    <numFmt numFmtId="168" formatCode="#,##0.0"/>
    <numFmt numFmtId="169" formatCode="0.00\ %"/>
    <numFmt numFmtId="170" formatCode="#,##0.000"/>
    <numFmt numFmtId="171" formatCode="#,##0\ [$€-407];[Red]\-#,##0\ [$€-407]"/>
    <numFmt numFmtId="172" formatCode="_-* #,##0\ &quot;€&quot;_-;\-* #,##0\ &quot;€&quot;_-;_-* &quot;-&quot;??\ &quot;€&quot;_-;_-@_-"/>
  </numFmts>
  <fonts count="23" x14ac:knownFonts="1">
    <font>
      <sz val="11"/>
      <color rgb="FF000000"/>
      <name val="Calibri"/>
      <family val="2"/>
      <charset val="1"/>
    </font>
    <font>
      <b/>
      <i/>
      <u/>
      <sz val="11"/>
      <color rgb="FF000000"/>
      <name val="Calibri"/>
      <family val="2"/>
      <charset val="1"/>
    </font>
    <font>
      <b/>
      <sz val="14"/>
      <color rgb="FF000000"/>
      <name val="Calibri"/>
      <family val="2"/>
      <charset val="1"/>
    </font>
    <font>
      <b/>
      <u/>
      <sz val="11"/>
      <color rgb="FF000000"/>
      <name val="Calibri"/>
      <family val="2"/>
      <charset val="1"/>
    </font>
    <font>
      <u/>
      <sz val="11"/>
      <color rgb="FF0000FF"/>
      <name val="Calibri"/>
      <family val="2"/>
      <charset val="1"/>
    </font>
    <font>
      <b/>
      <sz val="11"/>
      <color rgb="FF000000"/>
      <name val="Calibri"/>
      <family val="2"/>
      <charset val="1"/>
    </font>
    <font>
      <b/>
      <i/>
      <sz val="11"/>
      <color rgb="FF000000"/>
      <name val="Calibri"/>
      <family val="2"/>
      <charset val="1"/>
    </font>
    <font>
      <sz val="11"/>
      <name val="Calibri"/>
      <family val="2"/>
      <charset val="1"/>
    </font>
    <font>
      <sz val="11"/>
      <color theme="2" tint="-0.249977111117893"/>
      <name val="Calibri"/>
      <family val="2"/>
      <charset val="1"/>
    </font>
    <font>
      <sz val="11"/>
      <color theme="0"/>
      <name val="Calibri"/>
      <family val="2"/>
      <charset val="1"/>
    </font>
    <font>
      <b/>
      <vertAlign val="subscript"/>
      <sz val="11"/>
      <color rgb="FF000000"/>
      <name val="Calibri"/>
      <family val="2"/>
      <charset val="1"/>
    </font>
    <font>
      <vertAlign val="subscript"/>
      <sz val="11"/>
      <color rgb="FF000000"/>
      <name val="Calibri"/>
      <family val="2"/>
      <charset val="1"/>
    </font>
    <font>
      <sz val="11"/>
      <color rgb="FFFFFFFF"/>
      <name val="Calibri"/>
      <family val="2"/>
      <charset val="1"/>
    </font>
    <font>
      <sz val="10"/>
      <name val="Arial"/>
      <family val="2"/>
    </font>
    <font>
      <sz val="11"/>
      <color theme="1"/>
      <name val="Calibri"/>
      <family val="2"/>
      <charset val="1"/>
    </font>
    <font>
      <sz val="6.5"/>
      <color rgb="FF000000"/>
      <name val="Calibri"/>
      <family val="2"/>
      <charset val="1"/>
    </font>
    <font>
      <sz val="10"/>
      <color rgb="FF000000"/>
      <name val="Calibri"/>
      <family val="2"/>
      <charset val="1"/>
    </font>
    <font>
      <sz val="11"/>
      <color rgb="FF000000"/>
      <name val="Calibri"/>
      <family val="2"/>
      <charset val="1"/>
    </font>
    <font>
      <sz val="9"/>
      <color indexed="81"/>
      <name val="Segoe UI"/>
      <family val="2"/>
    </font>
    <font>
      <sz val="10"/>
      <color indexed="81"/>
      <name val="Arial"/>
      <family val="2"/>
    </font>
    <font>
      <b/>
      <sz val="11"/>
      <color rgb="FF000000"/>
      <name val="Calibri"/>
      <family val="2"/>
    </font>
    <font>
      <b/>
      <sz val="9"/>
      <color indexed="81"/>
      <name val="Segoe UI"/>
      <charset val="1"/>
    </font>
    <font>
      <b/>
      <sz val="9"/>
      <color indexed="81"/>
      <name val="Segoe UI"/>
      <family val="2"/>
    </font>
  </fonts>
  <fills count="9">
    <fill>
      <patternFill patternType="none"/>
    </fill>
    <fill>
      <patternFill patternType="gray125"/>
    </fill>
    <fill>
      <patternFill patternType="solid">
        <fgColor rgb="FFD9D9D9"/>
        <bgColor rgb="FFEEECE1"/>
      </patternFill>
    </fill>
    <fill>
      <patternFill patternType="solid">
        <fgColor rgb="FFA6A6A6"/>
        <bgColor rgb="FFAFABAB"/>
      </patternFill>
    </fill>
    <fill>
      <patternFill patternType="solid">
        <fgColor rgb="FFEEECE1"/>
        <bgColor rgb="FFD9D9D9"/>
      </patternFill>
    </fill>
    <fill>
      <patternFill patternType="solid">
        <fgColor rgb="FFFFFFFF"/>
        <bgColor rgb="FFEEECE1"/>
      </patternFill>
    </fill>
    <fill>
      <patternFill patternType="solid">
        <fgColor rgb="FFFFFF00"/>
        <bgColor rgb="FFFFF200"/>
      </patternFill>
    </fill>
    <fill>
      <patternFill patternType="solid">
        <fgColor rgb="FFFFF200"/>
        <bgColor rgb="FFFFFF00"/>
      </patternFill>
    </fill>
    <fill>
      <patternFill patternType="solid">
        <fgColor rgb="FF99FF66"/>
        <bgColor rgb="FF99CC00"/>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5">
    <xf numFmtId="0" fontId="0" fillId="0" borderId="0"/>
    <xf numFmtId="167" fontId="17" fillId="0" borderId="0" applyBorder="0" applyProtection="0"/>
    <xf numFmtId="0" fontId="4" fillId="0" borderId="0" applyBorder="0" applyProtection="0"/>
    <xf numFmtId="164" fontId="1" fillId="0" borderId="0" applyBorder="0" applyProtection="0"/>
    <xf numFmtId="44" fontId="17" fillId="0" borderId="0" applyFont="0" applyFill="0" applyBorder="0" applyAlignment="0" applyProtection="0"/>
  </cellStyleXfs>
  <cellXfs count="224">
    <xf numFmtId="0" fontId="0" fillId="0" borderId="0" xfId="0"/>
    <xf numFmtId="0" fontId="0" fillId="0" borderId="0" xfId="0" applyAlignment="1" applyProtection="1"/>
    <xf numFmtId="0" fontId="0" fillId="2" borderId="0" xfId="0" applyFill="1" applyAlignment="1" applyProtection="1"/>
    <xf numFmtId="0" fontId="2" fillId="2" borderId="0" xfId="0" applyFont="1" applyFill="1" applyAlignment="1" applyProtection="1"/>
    <xf numFmtId="0" fontId="3" fillId="2" borderId="0" xfId="0" applyFont="1" applyFill="1" applyAlignment="1" applyProtection="1"/>
    <xf numFmtId="0" fontId="5" fillId="2" borderId="0" xfId="0" applyFont="1" applyFill="1" applyAlignment="1" applyProtection="1"/>
    <xf numFmtId="0" fontId="0" fillId="2" borderId="0" xfId="0" applyFill="1" applyAlignment="1" applyProtection="1">
      <alignment vertical="top" wrapText="1"/>
    </xf>
    <xf numFmtId="0" fontId="0" fillId="2" borderId="0" xfId="0" applyFill="1" applyAlignment="1" applyProtection="1">
      <alignment horizontal="left" vertical="center" wrapText="1"/>
    </xf>
    <xf numFmtId="0" fontId="0" fillId="2" borderId="0" xfId="0" applyFill="1" applyAlignment="1" applyProtection="1">
      <alignment vertical="center" wrapText="1"/>
    </xf>
    <xf numFmtId="0" fontId="5" fillId="0" borderId="0" xfId="0" applyFont="1" applyAlignment="1" applyProtection="1"/>
    <xf numFmtId="0" fontId="0" fillId="0" borderId="0" xfId="0" applyAlignment="1" applyProtection="1">
      <protection locked="0"/>
    </xf>
    <xf numFmtId="0" fontId="0" fillId="0" borderId="0" xfId="0" applyAlignment="1" applyProtection="1">
      <alignment horizontal="left"/>
    </xf>
    <xf numFmtId="0" fontId="0" fillId="3" borderId="0" xfId="0" applyFill="1" applyAlignment="1" applyProtection="1"/>
    <xf numFmtId="0" fontId="0" fillId="3" borderId="0" xfId="0" applyFill="1" applyAlignment="1" applyProtection="1">
      <alignment horizontal="left"/>
    </xf>
    <xf numFmtId="0" fontId="0" fillId="5" borderId="1" xfId="0" applyFont="1" applyFill="1" applyBorder="1" applyAlignment="1" applyProtection="1"/>
    <xf numFmtId="0" fontId="0" fillId="7" borderId="0" xfId="0" applyFont="1" applyFill="1" applyAlignment="1" applyProtection="1"/>
    <xf numFmtId="0" fontId="5" fillId="3" borderId="0" xfId="0" applyFont="1" applyFill="1" applyAlignment="1" applyProtection="1">
      <alignment horizontal="left"/>
    </xf>
    <xf numFmtId="165" fontId="5" fillId="3" borderId="0" xfId="0" applyNumberFormat="1" applyFont="1" applyFill="1" applyAlignment="1" applyProtection="1"/>
    <xf numFmtId="165" fontId="0" fillId="5" borderId="1" xfId="0" applyNumberFormat="1" applyFill="1" applyBorder="1" applyAlignment="1" applyProtection="1"/>
    <xf numFmtId="0" fontId="0" fillId="5" borderId="1" xfId="0" applyFill="1" applyBorder="1" applyAlignment="1" applyProtection="1">
      <alignment horizontal="center"/>
    </xf>
    <xf numFmtId="0" fontId="0" fillId="0" borderId="1" xfId="0" applyFont="1" applyBorder="1" applyAlignment="1" applyProtection="1"/>
    <xf numFmtId="165" fontId="0" fillId="6" borderId="1" xfId="0" applyNumberFormat="1" applyFill="1" applyBorder="1" applyAlignment="1" applyProtection="1">
      <protection locked="0"/>
    </xf>
    <xf numFmtId="0" fontId="0" fillId="5" borderId="1" xfId="0" applyFont="1" applyFill="1" applyBorder="1" applyAlignment="1" applyProtection="1">
      <alignment horizontal="left"/>
    </xf>
    <xf numFmtId="166" fontId="0" fillId="6" borderId="1" xfId="0" applyNumberFormat="1" applyFill="1" applyBorder="1" applyAlignment="1" applyProtection="1">
      <protection locked="0"/>
    </xf>
    <xf numFmtId="0" fontId="5" fillId="5" borderId="1" xfId="0" applyFont="1" applyFill="1" applyBorder="1" applyAlignment="1" applyProtection="1"/>
    <xf numFmtId="165" fontId="5" fillId="5" borderId="1" xfId="0" applyNumberFormat="1" applyFont="1" applyFill="1" applyBorder="1" applyAlignment="1" applyProtection="1"/>
    <xf numFmtId="167" fontId="0" fillId="6" borderId="1" xfId="0" applyNumberFormat="1" applyFill="1" applyBorder="1" applyAlignment="1" applyProtection="1">
      <protection locked="0"/>
    </xf>
    <xf numFmtId="0" fontId="5" fillId="2" borderId="1" xfId="0" applyFont="1" applyFill="1" applyBorder="1" applyAlignment="1" applyProtection="1">
      <alignment wrapText="1"/>
    </xf>
    <xf numFmtId="0" fontId="5" fillId="2" borderId="1" xfId="0" applyFont="1" applyFill="1" applyBorder="1" applyAlignment="1" applyProtection="1">
      <alignment horizontal="center" wrapText="1"/>
    </xf>
    <xf numFmtId="0" fontId="5" fillId="2" borderId="1" xfId="0" applyFont="1" applyFill="1" applyBorder="1" applyAlignment="1" applyProtection="1"/>
    <xf numFmtId="0" fontId="5" fillId="2" borderId="1" xfId="0" applyFont="1" applyFill="1" applyBorder="1" applyAlignment="1" applyProtection="1">
      <alignment horizontal="center"/>
    </xf>
    <xf numFmtId="49" fontId="5" fillId="2" borderId="1" xfId="0" applyNumberFormat="1" applyFont="1" applyFill="1" applyBorder="1" applyAlignment="1" applyProtection="1">
      <alignment horizontal="center"/>
    </xf>
    <xf numFmtId="0" fontId="0" fillId="5" borderId="2" xfId="0" applyFont="1" applyFill="1" applyBorder="1" applyAlignment="1" applyProtection="1">
      <alignment horizontal="left"/>
    </xf>
    <xf numFmtId="168" fontId="0" fillId="6" borderId="3" xfId="0" applyNumberFormat="1" applyFill="1" applyBorder="1" applyAlignment="1" applyProtection="1">
      <protection locked="0"/>
    </xf>
    <xf numFmtId="0" fontId="0" fillId="5" borderId="3" xfId="0" applyFont="1" applyFill="1" applyBorder="1" applyAlignment="1" applyProtection="1"/>
    <xf numFmtId="0" fontId="0" fillId="0" borderId="4" xfId="0" applyBorder="1" applyAlignment="1" applyProtection="1"/>
    <xf numFmtId="0" fontId="7" fillId="5" borderId="1" xfId="0" applyFont="1" applyFill="1" applyBorder="1" applyAlignment="1" applyProtection="1"/>
    <xf numFmtId="3" fontId="0" fillId="8" borderId="1" xfId="0" applyNumberFormat="1" applyFill="1" applyBorder="1" applyAlignment="1" applyProtection="1">
      <alignment horizontal="center"/>
    </xf>
    <xf numFmtId="3" fontId="0" fillId="5" borderId="1" xfId="0" applyNumberFormat="1" applyFont="1" applyFill="1" applyBorder="1" applyAlignment="1" applyProtection="1">
      <alignment horizontal="center"/>
    </xf>
    <xf numFmtId="49" fontId="0" fillId="5" borderId="1" xfId="0" applyNumberFormat="1" applyFont="1" applyFill="1" applyBorder="1" applyAlignment="1" applyProtection="1">
      <alignment horizontal="center"/>
    </xf>
    <xf numFmtId="0" fontId="0" fillId="5" borderId="5" xfId="0" applyFont="1" applyFill="1" applyBorder="1" applyAlignment="1" applyProtection="1">
      <alignment horizontal="left"/>
    </xf>
    <xf numFmtId="168" fontId="0" fillId="6" borderId="0" xfId="0" applyNumberFormat="1" applyFill="1" applyBorder="1" applyAlignment="1" applyProtection="1">
      <protection locked="0"/>
    </xf>
    <xf numFmtId="0" fontId="0" fillId="5" borderId="0" xfId="0" applyFont="1" applyFill="1" applyBorder="1" applyAlignment="1" applyProtection="1"/>
    <xf numFmtId="0" fontId="0" fillId="5" borderId="6" xfId="0" applyFill="1" applyBorder="1" applyAlignment="1" applyProtection="1"/>
    <xf numFmtId="0" fontId="0" fillId="5" borderId="7" xfId="0" applyFill="1" applyBorder="1" applyAlignment="1" applyProtection="1"/>
    <xf numFmtId="0" fontId="0" fillId="5" borderId="8" xfId="0" applyFill="1" applyBorder="1" applyAlignment="1" applyProtection="1"/>
    <xf numFmtId="0" fontId="0" fillId="5" borderId="9" xfId="0" applyFill="1" applyBorder="1" applyAlignment="1" applyProtection="1"/>
    <xf numFmtId="0" fontId="0" fillId="5" borderId="2" xfId="0" applyFont="1" applyFill="1" applyBorder="1" applyAlignment="1" applyProtection="1"/>
    <xf numFmtId="0" fontId="0" fillId="5" borderId="4" xfId="0" applyFill="1" applyBorder="1" applyAlignment="1" applyProtection="1"/>
    <xf numFmtId="3" fontId="0" fillId="8" borderId="1" xfId="0" applyNumberFormat="1" applyFont="1" applyFill="1" applyBorder="1" applyAlignment="1" applyProtection="1">
      <alignment horizontal="center"/>
    </xf>
    <xf numFmtId="1" fontId="0" fillId="5" borderId="1" xfId="0" applyNumberFormat="1" applyFill="1" applyBorder="1" applyAlignment="1" applyProtection="1">
      <alignment horizontal="center"/>
    </xf>
    <xf numFmtId="169" fontId="0" fillId="0" borderId="0" xfId="0" applyNumberFormat="1" applyAlignment="1" applyProtection="1"/>
    <xf numFmtId="0" fontId="0" fillId="5" borderId="10" xfId="0" applyFont="1" applyFill="1" applyBorder="1" applyAlignment="1" applyProtection="1">
      <alignment horizontal="left"/>
    </xf>
    <xf numFmtId="168" fontId="0" fillId="6" borderId="11" xfId="0" applyNumberFormat="1" applyFill="1" applyBorder="1" applyAlignment="1" applyProtection="1">
      <protection locked="0"/>
    </xf>
    <xf numFmtId="0" fontId="0" fillId="5" borderId="11" xfId="0" applyFont="1" applyFill="1" applyBorder="1" applyAlignment="1" applyProtection="1"/>
    <xf numFmtId="0" fontId="0" fillId="5" borderId="12" xfId="0" applyFill="1" applyBorder="1" applyAlignment="1" applyProtection="1"/>
    <xf numFmtId="3" fontId="0" fillId="6" borderId="3" xfId="0" applyNumberFormat="1" applyFill="1" applyBorder="1" applyAlignment="1" applyProtection="1">
      <protection locked="0"/>
    </xf>
    <xf numFmtId="3" fontId="0" fillId="6" borderId="0" xfId="0" applyNumberFormat="1" applyFill="1" applyAlignment="1" applyProtection="1">
      <protection locked="0"/>
    </xf>
    <xf numFmtId="0" fontId="0" fillId="5" borderId="0" xfId="0" applyFont="1" applyFill="1" applyAlignment="1" applyProtection="1"/>
    <xf numFmtId="170" fontId="0" fillId="6" borderId="0" xfId="0" applyNumberFormat="1" applyFill="1" applyAlignment="1" applyProtection="1">
      <protection locked="0"/>
    </xf>
    <xf numFmtId="1" fontId="0" fillId="0" borderId="0" xfId="0" applyNumberFormat="1" applyAlignment="1" applyProtection="1"/>
    <xf numFmtId="0" fontId="0" fillId="5" borderId="5" xfId="0" applyFill="1" applyBorder="1" applyAlignment="1" applyProtection="1">
      <alignment wrapText="1"/>
    </xf>
    <xf numFmtId="0" fontId="0" fillId="5" borderId="0" xfId="0" applyFill="1" applyAlignment="1" applyProtection="1">
      <alignment wrapText="1"/>
    </xf>
    <xf numFmtId="0" fontId="0" fillId="5" borderId="6" xfId="0" applyFill="1" applyBorder="1" applyAlignment="1" applyProtection="1">
      <alignment wrapText="1"/>
    </xf>
    <xf numFmtId="0" fontId="0" fillId="5" borderId="5" xfId="0" applyFill="1" applyBorder="1" applyAlignment="1" applyProtection="1"/>
    <xf numFmtId="0" fontId="0" fillId="5" borderId="0" xfId="0" applyFill="1" applyBorder="1" applyAlignment="1" applyProtection="1">
      <alignment wrapText="1"/>
    </xf>
    <xf numFmtId="168" fontId="0" fillId="6" borderId="0" xfId="0" applyNumberFormat="1" applyFill="1" applyAlignment="1" applyProtection="1">
      <protection locked="0"/>
    </xf>
    <xf numFmtId="0" fontId="0" fillId="5" borderId="1" xfId="0" applyFont="1" applyFill="1" applyBorder="1" applyAlignment="1" applyProtection="1">
      <alignment wrapText="1"/>
    </xf>
    <xf numFmtId="1" fontId="0" fillId="8" borderId="1" xfId="0" applyNumberFormat="1" applyFill="1" applyBorder="1" applyAlignment="1" applyProtection="1">
      <alignment horizontal="center"/>
    </xf>
    <xf numFmtId="0" fontId="0" fillId="3" borderId="0" xfId="0" applyFill="1" applyAlignment="1" applyProtection="1">
      <alignment horizontal="right"/>
    </xf>
    <xf numFmtId="0" fontId="8" fillId="3" borderId="0" xfId="0" applyFont="1" applyFill="1" applyAlignment="1" applyProtection="1">
      <alignment wrapText="1"/>
    </xf>
    <xf numFmtId="1" fontId="0" fillId="6" borderId="0" xfId="0" applyNumberFormat="1" applyFill="1" applyAlignment="1" applyProtection="1">
      <protection locked="0"/>
    </xf>
    <xf numFmtId="3" fontId="0" fillId="0" borderId="1" xfId="0" applyNumberFormat="1" applyFont="1" applyBorder="1" applyAlignment="1" applyProtection="1">
      <alignment horizontal="center"/>
    </xf>
    <xf numFmtId="0" fontId="0" fillId="5" borderId="6" xfId="0" applyFill="1" applyBorder="1" applyAlignment="1" applyProtection="1">
      <alignment horizontal="left" wrapText="1"/>
    </xf>
    <xf numFmtId="165" fontId="0" fillId="6" borderId="3" xfId="0" applyNumberFormat="1" applyFill="1" applyBorder="1" applyAlignment="1" applyProtection="1">
      <protection locked="0"/>
    </xf>
    <xf numFmtId="1" fontId="12" fillId="5" borderId="4" xfId="0" applyNumberFormat="1" applyFont="1" applyFill="1" applyBorder="1" applyAlignment="1" applyProtection="1"/>
    <xf numFmtId="0" fontId="0" fillId="5" borderId="0" xfId="0" applyFill="1" applyBorder="1" applyAlignment="1" applyProtection="1">
      <protection locked="0"/>
    </xf>
    <xf numFmtId="1" fontId="12" fillId="5" borderId="6" xfId="0" applyNumberFormat="1" applyFont="1" applyFill="1" applyBorder="1" applyAlignment="1" applyProtection="1"/>
    <xf numFmtId="0" fontId="0" fillId="5" borderId="8" xfId="0" applyFill="1" applyBorder="1" applyAlignment="1" applyProtection="1">
      <protection locked="0"/>
    </xf>
    <xf numFmtId="1" fontId="12" fillId="5" borderId="9" xfId="0" applyNumberFormat="1" applyFont="1" applyFill="1" applyBorder="1" applyAlignment="1" applyProtection="1"/>
    <xf numFmtId="0" fontId="0" fillId="3" borderId="0" xfId="0" applyFill="1" applyAlignment="1" applyProtection="1">
      <alignment horizontal="center"/>
    </xf>
    <xf numFmtId="0" fontId="0" fillId="0" borderId="2" xfId="0" applyFont="1" applyBorder="1" applyAlignment="1" applyProtection="1"/>
    <xf numFmtId="0" fontId="0" fillId="4" borderId="5" xfId="0" applyFont="1" applyFill="1" applyBorder="1" applyAlignment="1" applyProtection="1"/>
    <xf numFmtId="0" fontId="0" fillId="4" borderId="0" xfId="0" applyFill="1" applyAlignment="1" applyProtection="1"/>
    <xf numFmtId="0" fontId="0" fillId="0" borderId="5" xfId="0" applyFont="1" applyBorder="1" applyAlignment="1" applyProtection="1"/>
    <xf numFmtId="165" fontId="0" fillId="6" borderId="0" xfId="0" applyNumberFormat="1" applyFill="1" applyAlignment="1" applyProtection="1">
      <protection locked="0"/>
    </xf>
    <xf numFmtId="0" fontId="0" fillId="5" borderId="0" xfId="0" applyFill="1" applyBorder="1" applyAlignment="1" applyProtection="1">
      <alignment horizontal="left"/>
    </xf>
    <xf numFmtId="0" fontId="0" fillId="5" borderId="7" xfId="0" applyFont="1" applyFill="1" applyBorder="1" applyAlignment="1" applyProtection="1">
      <alignment horizontal="left"/>
    </xf>
    <xf numFmtId="165" fontId="0" fillId="6" borderId="8" xfId="0" applyNumberFormat="1" applyFill="1" applyBorder="1" applyAlignment="1" applyProtection="1">
      <protection locked="0"/>
    </xf>
    <xf numFmtId="1" fontId="0" fillId="0" borderId="0" xfId="0" applyNumberFormat="1" applyAlignment="1" applyProtection="1">
      <protection locked="0"/>
    </xf>
    <xf numFmtId="0" fontId="0" fillId="3" borderId="0" xfId="0" applyFill="1" applyAlignment="1" applyProtection="1">
      <protection locked="0"/>
    </xf>
    <xf numFmtId="0" fontId="0" fillId="0" borderId="0" xfId="0" applyAlignment="1" applyProtection="1">
      <alignment horizontal="center"/>
    </xf>
    <xf numFmtId="49" fontId="0" fillId="0" borderId="0" xfId="0" applyNumberFormat="1" applyAlignment="1" applyProtection="1">
      <alignment horizontal="left"/>
    </xf>
    <xf numFmtId="0" fontId="0" fillId="0" borderId="0" xfId="0" applyAlignment="1" applyProtection="1">
      <alignment wrapText="1"/>
    </xf>
    <xf numFmtId="0" fontId="0" fillId="0" borderId="0" xfId="0" applyFont="1" applyBorder="1" applyAlignment="1" applyProtection="1">
      <alignment horizontal="left" vertical="center"/>
    </xf>
    <xf numFmtId="0" fontId="0" fillId="0" borderId="0" xfId="0" applyAlignment="1" applyProtection="1">
      <alignment horizontal="left" vertical="top"/>
    </xf>
    <xf numFmtId="0" fontId="0" fillId="0" borderId="3" xfId="0" applyBorder="1" applyAlignment="1" applyProtection="1">
      <alignment horizontal="center"/>
    </xf>
    <xf numFmtId="0" fontId="5" fillId="0" borderId="8" xfId="0" applyFont="1" applyBorder="1" applyAlignment="1" applyProtection="1"/>
    <xf numFmtId="0" fontId="0" fillId="0" borderId="8" xfId="0" applyBorder="1" applyAlignment="1" applyProtection="1">
      <alignment horizontal="center"/>
    </xf>
    <xf numFmtId="0" fontId="0" fillId="0" borderId="12" xfId="0" applyFont="1" applyBorder="1" applyAlignment="1" applyProtection="1"/>
    <xf numFmtId="0" fontId="14" fillId="0" borderId="1" xfId="0" applyFont="1" applyBorder="1" applyAlignment="1" applyProtection="1"/>
    <xf numFmtId="1" fontId="0" fillId="0" borderId="1" xfId="0" applyNumberFormat="1" applyBorder="1" applyAlignment="1" applyProtection="1"/>
    <xf numFmtId="0" fontId="0" fillId="0" borderId="1" xfId="0" applyBorder="1" applyAlignment="1" applyProtection="1">
      <protection locked="0"/>
    </xf>
    <xf numFmtId="0" fontId="14" fillId="0" borderId="0" xfId="0" applyFont="1" applyAlignment="1" applyProtection="1"/>
    <xf numFmtId="2" fontId="0" fillId="0" borderId="1" xfId="0" applyNumberFormat="1" applyBorder="1" applyAlignment="1" applyProtection="1"/>
    <xf numFmtId="0" fontId="0" fillId="0" borderId="1" xfId="0" applyBorder="1" applyAlignment="1" applyProtection="1">
      <alignment wrapText="1"/>
    </xf>
    <xf numFmtId="4" fontId="0" fillId="0" borderId="0" xfId="0" applyNumberFormat="1" applyAlignment="1" applyProtection="1"/>
    <xf numFmtId="0" fontId="0" fillId="0" borderId="6" xfId="0" applyBorder="1" applyAlignment="1" applyProtection="1"/>
    <xf numFmtId="0" fontId="0" fillId="0" borderId="8" xfId="0" applyBorder="1" applyAlignment="1" applyProtection="1"/>
    <xf numFmtId="4" fontId="0" fillId="0" borderId="1" xfId="0" applyNumberFormat="1" applyBorder="1" applyAlignment="1" applyProtection="1"/>
    <xf numFmtId="0" fontId="0" fillId="0" borderId="9" xfId="0" applyBorder="1" applyAlignment="1" applyProtection="1"/>
    <xf numFmtId="0" fontId="0" fillId="0" borderId="10" xfId="0" applyBorder="1" applyAlignment="1" applyProtection="1"/>
    <xf numFmtId="0" fontId="0" fillId="0" borderId="11" xfId="0" applyBorder="1" applyAlignment="1" applyProtection="1"/>
    <xf numFmtId="0" fontId="0" fillId="0" borderId="0" xfId="0" applyAlignment="1" applyProtection="1">
      <alignment horizontal="left" vertical="center"/>
    </xf>
    <xf numFmtId="0" fontId="0" fillId="0" borderId="3" xfId="0" applyBorder="1" applyAlignment="1" applyProtection="1"/>
    <xf numFmtId="4" fontId="0" fillId="0" borderId="3" xfId="0" applyNumberFormat="1" applyBorder="1" applyAlignment="1" applyProtection="1"/>
    <xf numFmtId="0" fontId="0" fillId="0" borderId="1" xfId="0" applyFont="1" applyBorder="1" applyAlignment="1" applyProtection="1">
      <alignment vertical="center"/>
    </xf>
    <xf numFmtId="0" fontId="0" fillId="0" borderId="0" xfId="0" applyAlignment="1" applyProtection="1">
      <alignment horizontal="center" vertical="center"/>
    </xf>
    <xf numFmtId="0" fontId="0" fillId="5" borderId="10" xfId="0" applyFont="1" applyFill="1" applyBorder="1" applyAlignment="1" applyProtection="1"/>
    <xf numFmtId="168" fontId="0" fillId="0" borderId="1" xfId="0" applyNumberFormat="1" applyBorder="1" applyAlignment="1" applyProtection="1">
      <alignment horizontal="right"/>
    </xf>
    <xf numFmtId="166" fontId="0" fillId="0" borderId="1" xfId="0" applyNumberFormat="1" applyBorder="1" applyAlignment="1" applyProtection="1">
      <alignment horizontal="right"/>
    </xf>
    <xf numFmtId="168" fontId="0" fillId="0" borderId="0" xfId="0" applyNumberFormat="1" applyAlignment="1" applyProtection="1">
      <alignment horizontal="right"/>
    </xf>
    <xf numFmtId="166" fontId="0" fillId="0" borderId="0" xfId="0" applyNumberFormat="1" applyAlignment="1" applyProtection="1">
      <alignment horizontal="right"/>
    </xf>
    <xf numFmtId="0" fontId="0" fillId="5" borderId="10" xfId="0" applyFont="1" applyFill="1" applyBorder="1" applyAlignment="1" applyProtection="1">
      <alignment horizontal="right"/>
    </xf>
    <xf numFmtId="3" fontId="0" fillId="0" borderId="1" xfId="0" applyNumberFormat="1" applyBorder="1" applyAlignment="1" applyProtection="1">
      <alignment horizontal="right"/>
    </xf>
    <xf numFmtId="4" fontId="0" fillId="0" borderId="11" xfId="0" applyNumberFormat="1" applyBorder="1" applyAlignment="1" applyProtection="1"/>
    <xf numFmtId="167" fontId="0" fillId="0" borderId="11" xfId="1" applyFont="1" applyBorder="1" applyAlignment="1" applyProtection="1">
      <alignment horizontal="right"/>
    </xf>
    <xf numFmtId="167" fontId="0" fillId="0" borderId="11" xfId="1" applyFont="1" applyBorder="1" applyAlignment="1" applyProtection="1"/>
    <xf numFmtId="167" fontId="0" fillId="0" borderId="0" xfId="1" applyFont="1" applyBorder="1" applyAlignment="1" applyProtection="1"/>
    <xf numFmtId="167" fontId="0" fillId="0" borderId="3" xfId="1" applyFont="1" applyBorder="1" applyAlignment="1" applyProtection="1"/>
    <xf numFmtId="0" fontId="5" fillId="0" borderId="5" xfId="0" applyFont="1" applyBorder="1" applyAlignment="1" applyProtection="1"/>
    <xf numFmtId="4" fontId="9" fillId="0" borderId="0" xfId="0" applyNumberFormat="1" applyFont="1" applyAlignment="1" applyProtection="1"/>
    <xf numFmtId="0" fontId="0" fillId="0" borderId="1" xfId="0" applyBorder="1" applyAlignment="1" applyProtection="1">
      <alignment horizontal="right" vertical="center"/>
    </xf>
    <xf numFmtId="166" fontId="0" fillId="0" borderId="1" xfId="0" applyNumberFormat="1" applyBorder="1" applyAlignment="1" applyProtection="1">
      <alignment horizontal="right" vertical="center"/>
    </xf>
    <xf numFmtId="0" fontId="0" fillId="0" borderId="3" xfId="0" applyBorder="1" applyAlignment="1" applyProtection="1">
      <alignment horizontal="left"/>
    </xf>
    <xf numFmtId="166" fontId="9" fillId="0" borderId="3" xfId="0" applyNumberFormat="1" applyFont="1" applyBorder="1" applyAlignment="1" applyProtection="1"/>
    <xf numFmtId="166" fontId="0" fillId="0" borderId="10" xfId="0" applyNumberFormat="1" applyBorder="1" applyAlignment="1" applyProtection="1">
      <alignment horizontal="right" vertical="center"/>
    </xf>
    <xf numFmtId="0" fontId="0" fillId="0" borderId="11" xfId="0" applyBorder="1" applyAlignment="1" applyProtection="1">
      <alignment horizontal="left"/>
    </xf>
    <xf numFmtId="165" fontId="0" fillId="0" borderId="1" xfId="0" applyNumberFormat="1" applyBorder="1" applyAlignment="1" applyProtection="1"/>
    <xf numFmtId="0" fontId="0" fillId="0" borderId="13" xfId="0" applyFont="1" applyBorder="1" applyAlignment="1" applyProtection="1"/>
    <xf numFmtId="166" fontId="0" fillId="0" borderId="1" xfId="0" applyNumberFormat="1" applyBorder="1" applyAlignment="1" applyProtection="1"/>
    <xf numFmtId="0" fontId="0" fillId="0" borderId="10" xfId="0" applyBorder="1" applyAlignment="1" applyProtection="1">
      <alignment horizontal="left" vertical="center"/>
    </xf>
    <xf numFmtId="0" fontId="0" fillId="0" borderId="11" xfId="0" applyBorder="1" applyAlignment="1" applyProtection="1">
      <protection locked="0"/>
    </xf>
    <xf numFmtId="0" fontId="0" fillId="0" borderId="1" xfId="0" applyBorder="1" applyAlignment="1" applyProtection="1"/>
    <xf numFmtId="3" fontId="0" fillId="0" borderId="1" xfId="0" quotePrefix="1" applyNumberFormat="1" applyFont="1" applyBorder="1" applyAlignment="1" applyProtection="1">
      <alignment horizontal="center"/>
    </xf>
    <xf numFmtId="3" fontId="0" fillId="5" borderId="1" xfId="0" applyNumberFormat="1" applyFont="1" applyFill="1" applyBorder="1" applyAlignment="1" applyProtection="1">
      <alignment horizontal="center"/>
    </xf>
    <xf numFmtId="0" fontId="0" fillId="0" borderId="14" xfId="0" applyBorder="1" applyAlignment="1" applyProtection="1">
      <protection locked="0"/>
    </xf>
    <xf numFmtId="0" fontId="0" fillId="0" borderId="15" xfId="0" applyBorder="1" applyAlignment="1" applyProtection="1">
      <protection locked="0"/>
    </xf>
    <xf numFmtId="0" fontId="0" fillId="0" borderId="14" xfId="0" applyBorder="1" applyAlignment="1" applyProtection="1"/>
    <xf numFmtId="0" fontId="0" fillId="0" borderId="10" xfId="0" applyBorder="1" applyAlignment="1" applyProtection="1">
      <protection locked="0"/>
    </xf>
    <xf numFmtId="2" fontId="0" fillId="0" borderId="11" xfId="0" applyNumberFormat="1" applyBorder="1" applyAlignment="1" applyProtection="1">
      <protection locked="0"/>
    </xf>
    <xf numFmtId="0" fontId="0" fillId="0" borderId="12" xfId="0" applyBorder="1" applyAlignment="1" applyProtection="1">
      <protection locked="0"/>
    </xf>
    <xf numFmtId="0" fontId="0" fillId="0" borderId="1" xfId="0" applyBorder="1"/>
    <xf numFmtId="0" fontId="0" fillId="0" borderId="2" xfId="0" applyFont="1" applyBorder="1" applyAlignment="1" applyProtection="1">
      <alignment horizontal="left" vertical="center"/>
    </xf>
    <xf numFmtId="0" fontId="0" fillId="0" borderId="3" xfId="0" applyBorder="1" applyAlignment="1" applyProtection="1">
      <alignment horizontal="left" vertical="center"/>
    </xf>
    <xf numFmtId="0" fontId="0" fillId="0" borderId="3" xfId="0" applyBorder="1" applyAlignment="1" applyProtection="1">
      <protection locked="0"/>
    </xf>
    <xf numFmtId="0" fontId="0" fillId="0" borderId="7" xfId="0" applyBorder="1" applyAlignment="1" applyProtection="1">
      <protection locked="0"/>
    </xf>
    <xf numFmtId="0" fontId="0" fillId="0" borderId="8" xfId="0" applyBorder="1" applyAlignment="1" applyProtection="1">
      <protection locked="0"/>
    </xf>
    <xf numFmtId="0" fontId="0" fillId="0" borderId="10" xfId="0" applyFont="1" applyBorder="1" applyAlignment="1" applyProtection="1">
      <alignment horizontal="left" vertical="center"/>
    </xf>
    <xf numFmtId="0" fontId="0" fillId="0" borderId="11" xfId="0" applyBorder="1" applyAlignment="1" applyProtection="1">
      <alignment horizontal="left" vertical="center"/>
    </xf>
    <xf numFmtId="0" fontId="0" fillId="0" borderId="4" xfId="0" applyBorder="1" applyAlignment="1" applyProtection="1">
      <protection locked="0"/>
    </xf>
    <xf numFmtId="0" fontId="0" fillId="0" borderId="9" xfId="0" applyBorder="1" applyAlignment="1" applyProtection="1">
      <protection locked="0"/>
    </xf>
    <xf numFmtId="0" fontId="0" fillId="5" borderId="2" xfId="0" applyFill="1" applyBorder="1" applyAlignment="1" applyProtection="1"/>
    <xf numFmtId="0" fontId="0" fillId="5" borderId="8" xfId="0" applyFont="1" applyFill="1" applyBorder="1" applyAlignment="1" applyProtection="1"/>
    <xf numFmtId="1" fontId="0" fillId="6" borderId="0" xfId="0" applyNumberFormat="1" applyFill="1" applyBorder="1" applyAlignment="1" applyProtection="1">
      <protection locked="0"/>
    </xf>
    <xf numFmtId="0" fontId="0" fillId="0" borderId="8" xfId="0" applyBorder="1" applyAlignment="1"/>
    <xf numFmtId="0" fontId="0" fillId="5" borderId="9" xfId="0" applyFill="1" applyBorder="1" applyAlignment="1" applyProtection="1">
      <alignment horizontal="left"/>
    </xf>
    <xf numFmtId="0" fontId="14" fillId="5" borderId="4" xfId="0" applyFont="1" applyFill="1" applyBorder="1" applyAlignment="1" applyProtection="1">
      <alignment horizontal="left" wrapText="1"/>
    </xf>
    <xf numFmtId="0" fontId="0" fillId="0" borderId="1" xfId="0" applyFont="1" applyBorder="1" applyAlignment="1" applyProtection="1"/>
    <xf numFmtId="1" fontId="0" fillId="6" borderId="3" xfId="0" applyNumberFormat="1" applyFill="1" applyBorder="1" applyAlignment="1" applyProtection="1">
      <protection locked="0"/>
    </xf>
    <xf numFmtId="1" fontId="0" fillId="6" borderId="8" xfId="0" applyNumberFormat="1" applyFill="1" applyBorder="1" applyAlignment="1" applyProtection="1">
      <protection locked="0"/>
    </xf>
    <xf numFmtId="0" fontId="20" fillId="6" borderId="3" xfId="0" applyNumberFormat="1" applyFont="1" applyFill="1" applyBorder="1" applyAlignment="1" applyProtection="1">
      <alignment horizontal="center"/>
      <protection locked="0"/>
    </xf>
    <xf numFmtId="0" fontId="0" fillId="0" borderId="2" xfId="0" applyBorder="1" applyAlignment="1" applyProtection="1">
      <protection locked="0"/>
    </xf>
    <xf numFmtId="0" fontId="0" fillId="0" borderId="7" xfId="0" applyBorder="1" applyAlignment="1"/>
    <xf numFmtId="0" fontId="0" fillId="0" borderId="6" xfId="0" applyBorder="1" applyAlignment="1" applyProtection="1">
      <protection locked="0"/>
    </xf>
    <xf numFmtId="172" fontId="0" fillId="0" borderId="11" xfId="4" applyNumberFormat="1" applyFont="1" applyBorder="1" applyAlignment="1" applyProtection="1"/>
    <xf numFmtId="0" fontId="0" fillId="5" borderId="5" xfId="0" applyFont="1" applyFill="1" applyBorder="1" applyAlignment="1" applyProtection="1"/>
    <xf numFmtId="0" fontId="0" fillId="5" borderId="15" xfId="0" applyFont="1" applyFill="1" applyBorder="1" applyAlignment="1" applyProtection="1"/>
    <xf numFmtId="49" fontId="0" fillId="0" borderId="0" xfId="0" applyNumberFormat="1" applyAlignment="1" applyProtection="1"/>
    <xf numFmtId="0" fontId="0" fillId="5" borderId="1" xfId="0" applyNumberFormat="1" applyFill="1" applyBorder="1" applyAlignment="1" applyProtection="1">
      <alignment horizontal="center"/>
    </xf>
    <xf numFmtId="0" fontId="0" fillId="2" borderId="0" xfId="0" applyFont="1" applyFill="1" applyBorder="1" applyAlignment="1" applyProtection="1">
      <alignment horizontal="left" vertical="top" wrapText="1"/>
    </xf>
    <xf numFmtId="0" fontId="4" fillId="2" borderId="0" xfId="2" applyFont="1" applyFill="1" applyBorder="1" applyAlignment="1" applyProtection="1">
      <alignment horizontal="center"/>
      <protection locked="0"/>
    </xf>
    <xf numFmtId="0" fontId="4" fillId="2" borderId="0" xfId="2" applyFont="1" applyFill="1" applyBorder="1" applyAlignment="1" applyProtection="1">
      <alignment vertical="center"/>
    </xf>
    <xf numFmtId="0" fontId="0" fillId="2" borderId="0" xfId="0" applyFont="1" applyFill="1" applyBorder="1" applyAlignment="1" applyProtection="1">
      <alignment horizontal="left" vertical="center" wrapText="1"/>
    </xf>
    <xf numFmtId="0" fontId="5" fillId="2" borderId="1" xfId="0" applyFont="1" applyFill="1" applyBorder="1" applyAlignment="1" applyProtection="1">
      <alignment horizontal="left"/>
    </xf>
    <xf numFmtId="3" fontId="0" fillId="5" borderId="1" xfId="0" applyNumberFormat="1" applyFont="1" applyFill="1" applyBorder="1" applyAlignment="1" applyProtection="1">
      <alignment horizontal="center"/>
    </xf>
    <xf numFmtId="0" fontId="0" fillId="3" borderId="0" xfId="0" applyFill="1" applyBorder="1" applyAlignment="1" applyProtection="1">
      <alignment horizontal="center"/>
    </xf>
    <xf numFmtId="0" fontId="5" fillId="2" borderId="1" xfId="0" applyFont="1" applyFill="1" applyBorder="1" applyAlignment="1" applyProtection="1">
      <alignment horizontal="left" wrapText="1"/>
    </xf>
    <xf numFmtId="0" fontId="5" fillId="2" borderId="1" xfId="0" applyFont="1" applyFill="1" applyBorder="1" applyAlignment="1" applyProtection="1">
      <alignment horizontal="center" wrapText="1"/>
    </xf>
    <xf numFmtId="0" fontId="5" fillId="2" borderId="14" xfId="0" applyFont="1" applyFill="1" applyBorder="1" applyAlignment="1" applyProtection="1">
      <alignment horizontal="left"/>
    </xf>
    <xf numFmtId="0" fontId="0" fillId="5" borderId="5" xfId="0" applyFont="1" applyFill="1" applyBorder="1" applyAlignment="1" applyProtection="1">
      <alignment horizontal="left" vertical="top" wrapText="1"/>
    </xf>
    <xf numFmtId="0" fontId="0" fillId="5" borderId="0" xfId="0" applyFont="1" applyFill="1" applyBorder="1" applyAlignment="1" applyProtection="1">
      <alignment horizontal="left" vertical="top" wrapText="1"/>
    </xf>
    <xf numFmtId="0" fontId="0" fillId="5" borderId="6" xfId="0" applyFont="1" applyFill="1" applyBorder="1" applyAlignment="1" applyProtection="1">
      <alignment horizontal="left" vertical="top" wrapText="1"/>
    </xf>
    <xf numFmtId="0" fontId="0" fillId="5" borderId="1" xfId="0" applyFont="1" applyFill="1" applyBorder="1" applyAlignment="1" applyProtection="1">
      <alignment horizontal="left"/>
    </xf>
    <xf numFmtId="0" fontId="0" fillId="5" borderId="1" xfId="0" applyFill="1" applyBorder="1" applyAlignment="1" applyProtection="1">
      <alignment horizontal="center"/>
    </xf>
    <xf numFmtId="0" fontId="0" fillId="6" borderId="1" xfId="0" applyFont="1" applyFill="1" applyBorder="1" applyAlignment="1" applyProtection="1">
      <alignment horizontal="right"/>
      <protection locked="0"/>
    </xf>
    <xf numFmtId="0" fontId="0" fillId="6" borderId="1" xfId="0" applyFill="1" applyBorder="1" applyAlignment="1" applyProtection="1">
      <alignment horizontal="right"/>
      <protection locked="0"/>
    </xf>
    <xf numFmtId="0" fontId="5" fillId="4" borderId="0" xfId="0" applyFont="1" applyFill="1" applyBorder="1" applyAlignment="1" applyProtection="1">
      <alignment horizontal="center"/>
    </xf>
    <xf numFmtId="0" fontId="0" fillId="0" borderId="0" xfId="0" applyFont="1" applyBorder="1" applyAlignment="1" applyProtection="1">
      <alignment horizontal="left" vertical="center" wrapText="1"/>
    </xf>
    <xf numFmtId="171" fontId="0" fillId="0" borderId="1" xfId="0" applyNumberFormat="1" applyBorder="1" applyAlignment="1" applyProtection="1">
      <alignment horizontal="center" vertical="center"/>
    </xf>
    <xf numFmtId="0" fontId="0" fillId="0" borderId="3" xfId="0" applyFont="1" applyBorder="1" applyAlignment="1" applyProtection="1">
      <alignment horizontal="left" vertical="center"/>
    </xf>
    <xf numFmtId="0" fontId="0" fillId="0" borderId="0" xfId="0" applyFont="1" applyBorder="1" applyAlignment="1" applyProtection="1">
      <alignment horizontal="left" vertical="center"/>
    </xf>
    <xf numFmtId="0" fontId="0" fillId="0" borderId="0" xfId="0" applyFont="1" applyBorder="1" applyAlignment="1" applyProtection="1">
      <alignment horizontal="center" vertical="center"/>
    </xf>
    <xf numFmtId="0" fontId="0" fillId="0" borderId="1" xfId="0" applyFont="1" applyBorder="1" applyAlignment="1" applyProtection="1"/>
    <xf numFmtId="0" fontId="0" fillId="0" borderId="7" xfId="0" applyFont="1" applyBorder="1" applyAlignment="1" applyProtection="1">
      <alignment horizontal="left" vertical="center"/>
    </xf>
    <xf numFmtId="0" fontId="0" fillId="0" borderId="1" xfId="0" applyFont="1" applyBorder="1" applyAlignment="1" applyProtection="1">
      <alignment horizontal="left"/>
    </xf>
    <xf numFmtId="0" fontId="0" fillId="0" borderId="1" xfId="0" applyFont="1" applyBorder="1" applyAlignment="1" applyProtection="1">
      <alignment horizontal="left" vertical="center"/>
    </xf>
    <xf numFmtId="0" fontId="0" fillId="0" borderId="1" xfId="0" applyFont="1" applyBorder="1" applyAlignment="1" applyProtection="1">
      <alignment horizontal="center" vertical="center"/>
    </xf>
    <xf numFmtId="168" fontId="5" fillId="0" borderId="1" xfId="0" applyNumberFormat="1" applyFont="1" applyBorder="1" applyAlignment="1" applyProtection="1">
      <alignment horizontal="center" vertical="center" wrapText="1"/>
    </xf>
    <xf numFmtId="0" fontId="0" fillId="0" borderId="12" xfId="0" applyFont="1" applyBorder="1" applyAlignment="1" applyProtection="1">
      <alignment horizontal="center"/>
    </xf>
    <xf numFmtId="0" fontId="0" fillId="0" borderId="0" xfId="0" applyFont="1" applyBorder="1" applyAlignment="1" applyProtection="1">
      <alignment horizontal="left" vertical="center"/>
      <protection locked="0"/>
    </xf>
    <xf numFmtId="0" fontId="5" fillId="0" borderId="0" xfId="0" applyFont="1" applyBorder="1" applyAlignment="1" applyProtection="1">
      <alignment horizontal="center" vertical="center"/>
    </xf>
    <xf numFmtId="0" fontId="0" fillId="0" borderId="10" xfId="0" applyBorder="1" applyAlignment="1" applyProtection="1">
      <alignment horizontal="left"/>
      <protection locked="0"/>
    </xf>
    <xf numFmtId="0" fontId="0" fillId="0" borderId="12" xfId="0" applyBorder="1" applyAlignment="1" applyProtection="1">
      <alignment horizontal="left"/>
      <protection locked="0"/>
    </xf>
    <xf numFmtId="0" fontId="0" fillId="0" borderId="8" xfId="0" applyFont="1" applyBorder="1" applyAlignment="1" applyProtection="1">
      <alignment horizontal="left" vertical="center"/>
    </xf>
    <xf numFmtId="0" fontId="14" fillId="0" borderId="0" xfId="0" applyFont="1" applyBorder="1" applyAlignment="1" applyProtection="1">
      <alignment horizontal="left" vertical="center"/>
    </xf>
    <xf numFmtId="0" fontId="0" fillId="0" borderId="5" xfId="0" applyFont="1" applyBorder="1" applyAlignment="1" applyProtection="1">
      <alignment horizontal="left"/>
    </xf>
    <xf numFmtId="0" fontId="0" fillId="0" borderId="1" xfId="0" applyFont="1" applyBorder="1" applyAlignment="1" applyProtection="1">
      <alignment horizontal="center"/>
    </xf>
    <xf numFmtId="0" fontId="0" fillId="0" borderId="2" xfId="0" applyBorder="1" applyAlignment="1" applyProtection="1">
      <alignment horizontal="left" vertical="center"/>
      <protection locked="0"/>
    </xf>
    <xf numFmtId="0" fontId="0" fillId="0" borderId="5" xfId="0" applyBorder="1" applyAlignment="1" applyProtection="1">
      <alignment horizontal="left" vertical="center"/>
      <protection locked="0"/>
    </xf>
    <xf numFmtId="0" fontId="0" fillId="0" borderId="7" xfId="0" applyBorder="1" applyAlignment="1" applyProtection="1">
      <alignment horizontal="left" vertical="center"/>
      <protection locked="0"/>
    </xf>
    <xf numFmtId="2" fontId="0" fillId="0" borderId="10" xfId="0" applyNumberFormat="1" applyBorder="1" applyAlignment="1" applyProtection="1">
      <alignment horizontal="center"/>
      <protection locked="0"/>
    </xf>
    <xf numFmtId="2" fontId="0" fillId="0" borderId="12" xfId="0" applyNumberFormat="1" applyBorder="1" applyAlignment="1" applyProtection="1">
      <alignment horizontal="center"/>
      <protection locked="0"/>
    </xf>
    <xf numFmtId="2" fontId="0" fillId="0" borderId="1" xfId="0" applyNumberFormat="1" applyBorder="1" applyAlignment="1" applyProtection="1">
      <alignment horizontal="center"/>
      <protection locked="0"/>
    </xf>
  </cellXfs>
  <cellStyles count="5">
    <cellStyle name="Ergebnis 2" xfId="3" xr:uid="{00000000-0005-0000-0000-000006000000}"/>
    <cellStyle name="Link" xfId="2" builtinId="8"/>
    <cellStyle name="Prozent" xfId="1" builtinId="5"/>
    <cellStyle name="Standard" xfId="0" builtinId="0"/>
    <cellStyle name="Währung" xfId="4" builtinId="4"/>
  </cellStyles>
  <dxfs count="35">
    <dxf>
      <font>
        <sz val="11"/>
        <color rgb="FF000000"/>
        <name val="Calibri"/>
        <charset val="1"/>
      </font>
      <fill>
        <patternFill>
          <bgColor rgb="FFFF0000"/>
        </patternFill>
      </fill>
    </dxf>
    <dxf>
      <font>
        <sz val="11"/>
        <color rgb="FF000000"/>
        <name val="Calibri"/>
        <charset val="1"/>
      </font>
      <fill>
        <patternFill>
          <bgColor rgb="FFFF0000"/>
        </patternFill>
      </fill>
    </dxf>
    <dxf>
      <font>
        <sz val="11"/>
        <color rgb="FF000000"/>
        <name val="Calibri"/>
        <charset val="1"/>
      </font>
      <fill>
        <patternFill>
          <bgColor rgb="FFFF0000"/>
        </patternFill>
      </fill>
    </dxf>
    <dxf>
      <font>
        <sz val="11"/>
        <color rgb="FF000000"/>
        <name val="Calibri"/>
        <charset val="1"/>
      </font>
      <fill>
        <patternFill>
          <bgColor rgb="FFFF0000"/>
        </patternFill>
      </fill>
    </dxf>
    <dxf>
      <font>
        <sz val="11"/>
        <color rgb="FF000000"/>
        <name val="Calibri"/>
        <charset val="1"/>
      </font>
      <fill>
        <patternFill>
          <bgColor rgb="FFFF0000"/>
        </patternFill>
      </fill>
    </dxf>
    <dxf>
      <font>
        <sz val="11"/>
        <color rgb="FF000000"/>
        <name val="Calibri"/>
        <charset val="1"/>
      </font>
      <fill>
        <patternFill>
          <bgColor rgb="FFFF0000"/>
        </patternFill>
      </fill>
    </dxf>
    <dxf>
      <fill>
        <patternFill>
          <bgColor rgb="FFFF0000"/>
        </patternFill>
      </fill>
    </dxf>
    <dxf>
      <font>
        <color rgb="FF000000"/>
      </font>
      <fill>
        <patternFill>
          <bgColor rgb="FFFF0000"/>
        </patternFill>
      </fill>
    </dxf>
    <dxf>
      <font>
        <sz val="11"/>
        <color rgb="FF000000"/>
        <name val="Calibri"/>
        <charset val="1"/>
      </font>
      <fill>
        <patternFill>
          <bgColor rgb="FFFF0000"/>
        </patternFill>
      </fill>
    </dxf>
    <dxf>
      <font>
        <sz val="11"/>
        <color rgb="FF000000"/>
        <name val="Calibri"/>
        <charset val="1"/>
      </font>
      <fill>
        <patternFill>
          <bgColor rgb="FFFF0000"/>
        </patternFill>
      </fill>
    </dxf>
    <dxf>
      <font>
        <sz val="11"/>
        <color rgb="FF000000"/>
        <name val="Calibri"/>
        <charset val="1"/>
      </font>
      <fill>
        <patternFill>
          <bgColor rgb="FFFF0000"/>
        </patternFill>
      </fill>
    </dxf>
    <dxf>
      <font>
        <sz val="11"/>
        <color rgb="FF000000"/>
        <name val="Calibri"/>
        <charset val="1"/>
      </font>
      <fill>
        <patternFill>
          <bgColor rgb="FFFF0000"/>
        </patternFill>
      </fill>
    </dxf>
    <dxf>
      <font>
        <sz val="11"/>
        <color rgb="FF000000"/>
        <name val="Calibri"/>
        <charset val="1"/>
      </font>
      <fill>
        <patternFill>
          <bgColor rgb="FFFF0000"/>
        </patternFill>
      </fill>
    </dxf>
    <dxf>
      <font>
        <sz val="11"/>
        <color rgb="FF000000"/>
        <name val="Calibri"/>
        <charset val="1"/>
      </font>
      <fill>
        <patternFill>
          <bgColor rgb="FFFF0000"/>
        </patternFill>
      </fill>
    </dxf>
    <dxf>
      <font>
        <sz val="11"/>
        <color rgb="FF000000"/>
        <name val="Calibri"/>
        <charset val="1"/>
      </font>
      <fill>
        <patternFill>
          <bgColor rgb="FFFF0000"/>
        </patternFill>
      </fill>
    </dxf>
    <dxf>
      <font>
        <sz val="11"/>
        <color rgb="FF000000"/>
        <name val="Calibri"/>
        <charset val="1"/>
      </font>
      <fill>
        <patternFill>
          <bgColor rgb="FFFF0000"/>
        </patternFill>
      </fill>
    </dxf>
    <dxf>
      <font>
        <sz val="11"/>
        <color rgb="FF000000"/>
        <name val="Calibri"/>
        <charset val="1"/>
      </font>
      <fill>
        <patternFill>
          <bgColor rgb="FFFF0000"/>
        </patternFill>
      </fill>
    </dxf>
    <dxf>
      <font>
        <sz val="11"/>
        <color rgb="FF000000"/>
        <name val="Calibri"/>
        <charset val="1"/>
      </font>
      <fill>
        <patternFill>
          <bgColor rgb="FFFF0000"/>
        </patternFill>
      </fill>
    </dxf>
    <dxf>
      <font>
        <sz val="11"/>
        <color rgb="FF000000"/>
        <name val="Calibri"/>
        <charset val="1"/>
      </font>
      <fill>
        <patternFill>
          <bgColor rgb="FFFF0000"/>
        </patternFill>
      </fill>
    </dxf>
    <dxf>
      <font>
        <sz val="11"/>
        <color rgb="FF000000"/>
        <name val="Calibri"/>
        <charset val="1"/>
      </font>
      <fill>
        <patternFill>
          <bgColor rgb="FFFF0000"/>
        </patternFill>
      </fill>
    </dxf>
    <dxf>
      <fill>
        <patternFill>
          <bgColor rgb="FFFF0000"/>
        </patternFill>
      </fill>
    </dxf>
    <dxf>
      <font>
        <sz val="11"/>
        <color rgb="FF000000"/>
        <name val="Calibri"/>
        <charset val="1"/>
      </font>
      <fill>
        <patternFill>
          <bgColor rgb="FFFF0000"/>
        </patternFill>
      </fill>
    </dxf>
    <dxf>
      <font>
        <sz val="11"/>
        <color rgb="FF000000"/>
        <name val="Calibri"/>
        <charset val="1"/>
      </font>
      <fill>
        <patternFill>
          <bgColor rgb="FFFF0000"/>
        </patternFill>
      </fill>
    </dxf>
    <dxf>
      <font>
        <sz val="11"/>
        <color rgb="FF000000"/>
        <name val="Calibri"/>
        <charset val="1"/>
      </font>
      <fill>
        <patternFill>
          <bgColor rgb="FFFF0000"/>
        </patternFill>
      </fill>
    </dxf>
    <dxf>
      <font>
        <sz val="11"/>
        <color rgb="FF000000"/>
        <name val="Calibri"/>
        <charset val="1"/>
      </font>
      <fill>
        <patternFill>
          <bgColor rgb="FFFF0000"/>
        </patternFill>
      </fill>
    </dxf>
    <dxf>
      <font>
        <sz val="11"/>
        <color rgb="FF000000"/>
        <name val="Calibri"/>
        <charset val="1"/>
      </font>
      <fill>
        <patternFill>
          <bgColor rgb="FFFF0000"/>
        </patternFill>
      </fill>
    </dxf>
    <dxf>
      <font>
        <sz val="11"/>
        <color rgb="FF000000"/>
        <name val="Calibri"/>
        <charset val="1"/>
      </font>
      <fill>
        <patternFill>
          <bgColor rgb="FFFF0000"/>
        </patternFill>
      </fill>
    </dxf>
    <dxf>
      <font>
        <sz val="11"/>
        <color rgb="FF000000"/>
        <name val="Calibri"/>
        <charset val="1"/>
      </font>
      <fill>
        <patternFill>
          <bgColor rgb="FFFF0000"/>
        </patternFill>
      </fill>
    </dxf>
    <dxf>
      <font>
        <sz val="11"/>
        <color rgb="FF000000"/>
        <name val="Calibri"/>
        <charset val="1"/>
      </font>
      <fill>
        <patternFill>
          <bgColor rgb="FFFF0000"/>
        </patternFill>
      </fill>
    </dxf>
    <dxf>
      <font>
        <sz val="11"/>
        <color rgb="FF000000"/>
        <name val="Calibri"/>
        <charset val="1"/>
      </font>
      <fill>
        <patternFill>
          <bgColor rgb="FFFF0000"/>
        </patternFill>
      </fill>
    </dxf>
    <dxf>
      <font>
        <sz val="11"/>
        <color rgb="FF000000"/>
        <name val="Calibri"/>
        <charset val="1"/>
      </font>
      <fill>
        <patternFill>
          <bgColor rgb="FFFF0000"/>
        </patternFill>
      </fill>
    </dxf>
    <dxf>
      <font>
        <sz val="11"/>
        <color rgb="FF000000"/>
        <name val="Calibri"/>
        <charset val="1"/>
      </font>
      <fill>
        <patternFill>
          <bgColor rgb="FFFF0000"/>
        </patternFill>
      </fill>
    </dxf>
    <dxf>
      <font>
        <sz val="11"/>
        <color rgb="FF000000"/>
        <name val="Calibri"/>
        <charset val="1"/>
      </font>
      <fill>
        <patternFill>
          <bgColor rgb="FFFF0000"/>
        </patternFill>
      </fill>
    </dxf>
    <dxf>
      <font>
        <sz val="11"/>
        <color rgb="FF000000"/>
        <name val="Calibri"/>
        <charset val="1"/>
      </font>
      <fill>
        <patternFill>
          <bgColor rgb="FFFF0000"/>
        </patternFill>
      </fill>
    </dxf>
    <dxf>
      <font>
        <sz val="11"/>
        <color rgb="FF000000"/>
        <name val="Calibri"/>
        <charset val="1"/>
      </font>
      <fill>
        <patternFill>
          <bgColor rgb="FFFF0000"/>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AFABAB"/>
      <rgbColor rgb="FF808080"/>
      <rgbColor rgb="FF9999FF"/>
      <rgbColor rgb="FF993366"/>
      <rgbColor rgb="FFEEECE1"/>
      <rgbColor rgb="FFCCFFFF"/>
      <rgbColor rgb="FF660066"/>
      <rgbColor rgb="FFFF8080"/>
      <rgbColor rgb="FF0066CC"/>
      <rgbColor rgb="FFD9D9D9"/>
      <rgbColor rgb="FF000080"/>
      <rgbColor rgb="FFFF00FF"/>
      <rgbColor rgb="FFFFF200"/>
      <rgbColor rgb="FF00FFFF"/>
      <rgbColor rgb="FF800080"/>
      <rgbColor rgb="FF800000"/>
      <rgbColor rgb="FF008080"/>
      <rgbColor rgb="FF0000FF"/>
      <rgbColor rgb="FF00CCFF"/>
      <rgbColor rgb="FFCCFFFF"/>
      <rgbColor rgb="FF99FF66"/>
      <rgbColor rgb="FFFFFF99"/>
      <rgbColor rgb="FF99CCFF"/>
      <rgbColor rgb="FFFF99CC"/>
      <rgbColor rgb="FFCC99FF"/>
      <rgbColor rgb="FFFFCC99"/>
      <rgbColor rgb="FF3366FF"/>
      <rgbColor rgb="FF33CCCC"/>
      <rgbColor rgb="FF99CC00"/>
      <rgbColor rgb="FFFFCC00"/>
      <rgbColor rgb="FFFF9900"/>
      <rgbColor rgb="FFFF6600"/>
      <rgbColor rgb="FF666699"/>
      <rgbColor rgb="FFA6A6A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285749</xdr:colOff>
      <xdr:row>61</xdr:row>
      <xdr:rowOff>85725</xdr:rowOff>
    </xdr:from>
    <xdr:to>
      <xdr:col>15</xdr:col>
      <xdr:colOff>661556</xdr:colOff>
      <xdr:row>67</xdr:row>
      <xdr:rowOff>19050</xdr:rowOff>
    </xdr:to>
    <xdr:pic>
      <xdr:nvPicPr>
        <xdr:cNvPr id="2" name="Grafik 1">
          <a:extLst>
            <a:ext uri="{FF2B5EF4-FFF2-40B4-BE49-F238E27FC236}">
              <a16:creationId xmlns:a16="http://schemas.microsoft.com/office/drawing/2014/main" id="{EE6140F5-4ADC-987F-54E1-8FAB154EC653}"/>
            </a:ext>
          </a:extLst>
        </xdr:cNvPr>
        <xdr:cNvPicPr>
          <a:picLocks noChangeAspect="1"/>
        </xdr:cNvPicPr>
      </xdr:nvPicPr>
      <xdr:blipFill rotWithShape="1">
        <a:blip xmlns:r="http://schemas.openxmlformats.org/officeDocument/2006/relationships" r:embed="rId1"/>
        <a:srcRect t="46373"/>
        <a:stretch/>
      </xdr:blipFill>
      <xdr:spPr>
        <a:xfrm>
          <a:off x="11801474" y="11677650"/>
          <a:ext cx="3347607" cy="1076325"/>
        </a:xfrm>
        <a:prstGeom prst="rect">
          <a:avLst/>
        </a:prstGeom>
      </xdr:spPr>
    </xdr:pic>
    <xdr:clientData/>
  </xdr:twoCellAnchor>
</xdr:wsDr>
</file>

<file path=xl/theme/theme1.xml><?xml version="1.0" encoding="utf-8"?>
<a:theme xmlns:a="http://schemas.openxmlformats.org/drawingml/2006/main" name="Office">
  <a:themeElements>
    <a:clrScheme name="Office">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hyperlink" Target="http://www.iwu.de/fileadmin/user_upload/dateien/energie/15_08_10_Kostenstudie_Bericht_-_Barrierefrei_-_neu.pdf" TargetMode="External"/><Relationship Id="rId1" Type="http://schemas.openxmlformats.org/officeDocument/2006/relationships/hyperlink" Target="http://www.solaroffice.de/downloads"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www.sirados.de/sirados-ortsfaktoren-gratis-download" TargetMode="External"/><Relationship Id="rId1" Type="http://schemas.openxmlformats.org/officeDocument/2006/relationships/hyperlink" Target="https://www.destatis.de/DE/Themen/Wirtschaft/Konjunkturindikatoren/Preise/bpr110.html"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tzwl.de/endkunden/infoportal-wohnungslueftung/10-fragen-zu-l&#252;ftung" TargetMode="External"/><Relationship Id="rId1" Type="http://schemas.openxmlformats.org/officeDocument/2006/relationships/hyperlink" Target="http://www.asue.de/blockheizkraftwerke/broschueren/05_10_14_bhkw-kenndaten_2014-15"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29"/>
  <sheetViews>
    <sheetView tabSelected="1" zoomScaleNormal="100" workbookViewId="0">
      <selection activeCell="U47" sqref="U47"/>
    </sheetView>
  </sheetViews>
  <sheetFormatPr baseColWidth="10" defaultColWidth="10.7109375" defaultRowHeight="15" x14ac:dyDescent="0.25"/>
  <cols>
    <col min="1" max="1" width="4.5703125" style="1" customWidth="1"/>
    <col min="19" max="19" width="4.5703125" style="1" customWidth="1"/>
  </cols>
  <sheetData>
    <row r="1" spans="1:19" ht="15.75" customHeight="1" x14ac:dyDescent="0.25">
      <c r="A1" s="2"/>
      <c r="B1" s="2"/>
      <c r="C1" s="2"/>
      <c r="D1" s="2"/>
      <c r="E1" s="2"/>
      <c r="F1" s="2"/>
      <c r="G1" s="2"/>
      <c r="H1" s="2"/>
      <c r="I1" s="2"/>
      <c r="J1" s="2"/>
      <c r="K1" s="2"/>
      <c r="L1" s="2"/>
      <c r="M1" s="2"/>
      <c r="N1" s="2"/>
      <c r="O1" s="2"/>
      <c r="P1" s="2"/>
      <c r="Q1" s="2"/>
      <c r="R1" s="2"/>
      <c r="S1" s="2"/>
    </row>
    <row r="2" spans="1:19" ht="18.75" x14ac:dyDescent="0.3">
      <c r="A2" s="2"/>
      <c r="B2" s="3" t="s">
        <v>0</v>
      </c>
      <c r="C2" s="2"/>
      <c r="D2" s="2"/>
      <c r="E2" s="2"/>
      <c r="F2" s="2"/>
      <c r="G2" s="2"/>
      <c r="H2" s="2"/>
      <c r="I2" s="2"/>
      <c r="J2" s="2"/>
      <c r="K2" s="2"/>
      <c r="L2" s="2"/>
      <c r="M2" s="2"/>
      <c r="N2" s="2"/>
      <c r="O2" s="2"/>
      <c r="P2" s="2"/>
      <c r="Q2" s="2"/>
      <c r="R2" s="2"/>
      <c r="S2" s="2"/>
    </row>
    <row r="3" spans="1:19" ht="15.75" customHeight="1" x14ac:dyDescent="0.25">
      <c r="A3" s="2"/>
      <c r="B3" s="2"/>
      <c r="C3" s="2"/>
      <c r="D3" s="2"/>
      <c r="E3" s="2"/>
      <c r="F3" s="2"/>
      <c r="G3" s="2"/>
      <c r="H3" s="2"/>
      <c r="I3" s="2"/>
      <c r="J3" s="2"/>
      <c r="K3" s="2"/>
      <c r="L3" s="2"/>
      <c r="M3" s="2"/>
      <c r="N3" s="2"/>
      <c r="O3" s="2"/>
      <c r="P3" s="2"/>
      <c r="Q3" s="2"/>
      <c r="R3" s="2"/>
      <c r="S3" s="2"/>
    </row>
    <row r="4" spans="1:19" ht="15.75" customHeight="1" x14ac:dyDescent="0.25">
      <c r="A4" s="2"/>
      <c r="B4" s="2" t="s">
        <v>1</v>
      </c>
      <c r="C4" s="2"/>
      <c r="D4" s="2"/>
      <c r="E4" s="2"/>
      <c r="F4" s="2"/>
      <c r="G4" s="2"/>
      <c r="H4" s="2"/>
      <c r="I4" s="2"/>
      <c r="J4" s="2"/>
      <c r="K4" s="2"/>
      <c r="L4" s="2"/>
      <c r="M4" s="2"/>
      <c r="N4" s="2"/>
      <c r="O4" s="2"/>
      <c r="P4" s="2"/>
      <c r="Q4" s="2"/>
      <c r="R4" s="2"/>
      <c r="S4" s="2"/>
    </row>
    <row r="5" spans="1:19" ht="15.75" customHeight="1" x14ac:dyDescent="0.25">
      <c r="A5" s="2"/>
      <c r="B5" s="4" t="s">
        <v>2</v>
      </c>
      <c r="C5" s="2"/>
      <c r="D5" s="2"/>
      <c r="E5" s="2"/>
      <c r="F5" s="2"/>
      <c r="G5" s="2"/>
      <c r="H5" s="2"/>
      <c r="I5" s="2"/>
      <c r="J5" s="2"/>
      <c r="K5" s="2"/>
      <c r="L5" s="181" t="s">
        <v>3</v>
      </c>
      <c r="M5" s="181"/>
      <c r="N5" s="181"/>
      <c r="O5" s="2"/>
      <c r="P5" s="2"/>
      <c r="Q5" s="2"/>
      <c r="R5" s="2"/>
      <c r="S5" s="2"/>
    </row>
    <row r="6" spans="1:19" ht="15.75" customHeight="1" x14ac:dyDescent="0.25">
      <c r="A6" s="2"/>
      <c r="B6" s="2"/>
      <c r="C6" s="2"/>
      <c r="D6" s="2"/>
      <c r="E6" s="2"/>
      <c r="F6" s="2"/>
      <c r="G6" s="2"/>
      <c r="H6" s="2"/>
      <c r="I6" s="2"/>
      <c r="J6" s="2"/>
      <c r="K6" s="2"/>
      <c r="L6" s="2"/>
      <c r="M6" s="2"/>
      <c r="N6" s="2"/>
      <c r="O6" s="2"/>
      <c r="P6" s="2"/>
      <c r="Q6" s="2"/>
      <c r="R6" s="2"/>
      <c r="S6" s="2"/>
    </row>
    <row r="7" spans="1:19" ht="15.75" customHeight="1" x14ac:dyDescent="0.25">
      <c r="A7" s="2"/>
      <c r="B7" s="5" t="s">
        <v>4</v>
      </c>
      <c r="C7" s="2"/>
      <c r="D7" s="2"/>
      <c r="E7" s="2"/>
      <c r="F7" s="2"/>
      <c r="G7" s="2"/>
      <c r="H7" s="2"/>
      <c r="I7" s="2"/>
      <c r="J7" s="2"/>
      <c r="K7" s="2"/>
      <c r="L7" s="2"/>
      <c r="M7" s="2"/>
      <c r="N7" s="2"/>
      <c r="O7" s="2"/>
      <c r="P7" s="2"/>
      <c r="Q7" s="2"/>
      <c r="R7" s="2"/>
      <c r="S7" s="2"/>
    </row>
    <row r="8" spans="1:19" ht="15.75" customHeight="1" x14ac:dyDescent="0.25">
      <c r="A8" s="2"/>
      <c r="B8" s="2"/>
      <c r="C8" s="2"/>
      <c r="D8" s="2"/>
      <c r="E8" s="2"/>
      <c r="F8" s="2"/>
      <c r="G8" s="2"/>
      <c r="H8" s="2"/>
      <c r="I8" s="2"/>
      <c r="J8" s="2"/>
      <c r="K8" s="2"/>
      <c r="L8" s="2"/>
      <c r="M8" s="2"/>
      <c r="N8" s="2"/>
      <c r="O8" s="2"/>
      <c r="P8" s="2"/>
      <c r="Q8" s="2"/>
      <c r="R8" s="2"/>
      <c r="S8" s="2"/>
    </row>
    <row r="9" spans="1:19" ht="15.75" customHeight="1" x14ac:dyDescent="0.25">
      <c r="A9" s="2"/>
      <c r="B9" s="5" t="s">
        <v>5</v>
      </c>
      <c r="C9" s="2"/>
      <c r="D9" s="2"/>
      <c r="E9" s="2"/>
      <c r="F9" s="2"/>
      <c r="G9" s="2"/>
      <c r="H9" s="2"/>
      <c r="I9" s="2"/>
      <c r="J9" s="2"/>
      <c r="K9" s="2"/>
      <c r="L9" s="2"/>
      <c r="M9" s="2"/>
      <c r="N9" s="2"/>
      <c r="O9" s="2"/>
      <c r="P9" s="2"/>
      <c r="Q9" s="2"/>
      <c r="R9" s="2"/>
      <c r="S9" s="2"/>
    </row>
    <row r="10" spans="1:19" ht="15.75" customHeight="1" x14ac:dyDescent="0.25">
      <c r="A10" s="2"/>
      <c r="B10" s="2" t="s">
        <v>6</v>
      </c>
      <c r="C10" s="2"/>
      <c r="D10" s="2"/>
      <c r="E10" s="2"/>
      <c r="F10" s="2"/>
      <c r="G10" s="2"/>
      <c r="H10" s="2"/>
      <c r="I10" s="2"/>
      <c r="J10" s="2"/>
      <c r="K10" s="2"/>
      <c r="L10" s="2"/>
      <c r="M10" s="2"/>
      <c r="N10" s="2"/>
      <c r="O10" s="2"/>
      <c r="P10" s="2"/>
      <c r="Q10" s="2"/>
      <c r="R10" s="2"/>
      <c r="S10" s="2"/>
    </row>
    <row r="11" spans="1:19" ht="15.75" customHeight="1" x14ac:dyDescent="0.25">
      <c r="A11" s="2"/>
      <c r="B11" s="2"/>
      <c r="C11" s="2"/>
      <c r="D11" s="2"/>
      <c r="E11" s="2"/>
      <c r="F11" s="2"/>
      <c r="G11" s="2"/>
      <c r="H11" s="2"/>
      <c r="I11" s="2"/>
      <c r="J11" s="2"/>
      <c r="K11" s="2"/>
      <c r="L11" s="2"/>
      <c r="M11" s="2"/>
      <c r="N11" s="2"/>
      <c r="O11" s="2"/>
      <c r="P11" s="2"/>
      <c r="Q11" s="2"/>
      <c r="R11" s="2"/>
      <c r="S11" s="2"/>
    </row>
    <row r="12" spans="1:19" ht="15.75" customHeight="1" x14ac:dyDescent="0.25">
      <c r="A12" s="2"/>
      <c r="B12" s="5" t="s">
        <v>7</v>
      </c>
      <c r="C12" s="2"/>
      <c r="D12" s="2"/>
      <c r="E12" s="2"/>
      <c r="F12" s="2"/>
      <c r="G12" s="2"/>
      <c r="H12" s="2"/>
      <c r="I12" s="2"/>
      <c r="J12" s="2"/>
      <c r="K12" s="2"/>
      <c r="L12" s="2"/>
      <c r="M12" s="2"/>
      <c r="N12" s="2"/>
      <c r="O12" s="2"/>
      <c r="P12" s="2"/>
      <c r="Q12" s="2"/>
      <c r="R12" s="2"/>
      <c r="S12" s="2"/>
    </row>
    <row r="13" spans="1:19" ht="46.35" customHeight="1" x14ac:dyDescent="0.25">
      <c r="A13" s="2"/>
      <c r="B13" s="180" t="s">
        <v>8</v>
      </c>
      <c r="C13" s="180"/>
      <c r="D13" s="180"/>
      <c r="E13" s="180"/>
      <c r="F13" s="180"/>
      <c r="G13" s="180"/>
      <c r="H13" s="180"/>
      <c r="I13" s="180"/>
      <c r="J13" s="180"/>
      <c r="K13" s="180"/>
      <c r="L13" s="180"/>
      <c r="M13" s="180"/>
      <c r="N13" s="180"/>
      <c r="O13" s="180"/>
      <c r="P13" s="180"/>
      <c r="Q13" s="180"/>
      <c r="R13" s="180"/>
      <c r="S13" s="6"/>
    </row>
    <row r="14" spans="1:19" ht="15" customHeight="1" x14ac:dyDescent="0.25">
      <c r="A14" s="2"/>
      <c r="B14" s="182" t="s">
        <v>9</v>
      </c>
      <c r="C14" s="182"/>
      <c r="D14" s="182"/>
      <c r="E14" s="182"/>
      <c r="F14" s="182"/>
      <c r="G14" s="182"/>
      <c r="H14" s="182"/>
      <c r="I14" s="182"/>
      <c r="J14" s="182"/>
      <c r="K14" s="182"/>
      <c r="L14" s="183" t="s">
        <v>10</v>
      </c>
      <c r="M14" s="183"/>
      <c r="N14" s="183"/>
      <c r="O14" s="7"/>
      <c r="P14" s="7"/>
      <c r="Q14" s="7"/>
      <c r="R14" s="7"/>
      <c r="S14" s="8"/>
    </row>
    <row r="15" spans="1:19" ht="79.5" customHeight="1" x14ac:dyDescent="0.25">
      <c r="A15" s="2"/>
      <c r="B15" s="180" t="s">
        <v>11</v>
      </c>
      <c r="C15" s="180"/>
      <c r="D15" s="180"/>
      <c r="E15" s="180"/>
      <c r="F15" s="180"/>
      <c r="G15" s="180"/>
      <c r="H15" s="180"/>
      <c r="I15" s="180"/>
      <c r="J15" s="180"/>
      <c r="K15" s="180"/>
      <c r="L15" s="180"/>
      <c r="M15" s="180"/>
      <c r="N15" s="180"/>
      <c r="O15" s="180"/>
      <c r="P15" s="180"/>
      <c r="Q15" s="180"/>
      <c r="R15" s="180"/>
      <c r="S15" s="6"/>
    </row>
    <row r="16" spans="1:19" x14ac:dyDescent="0.25">
      <c r="A16" s="2"/>
      <c r="B16" s="2"/>
      <c r="C16" s="2"/>
      <c r="D16" s="2"/>
      <c r="E16" s="2"/>
      <c r="F16" s="2"/>
      <c r="G16" s="2"/>
      <c r="H16" s="2"/>
      <c r="I16" s="2"/>
      <c r="J16" s="2"/>
      <c r="K16" s="2"/>
      <c r="L16" s="2"/>
      <c r="M16" s="2"/>
      <c r="N16" s="2"/>
      <c r="O16" s="2"/>
      <c r="P16" s="2"/>
      <c r="Q16" s="2"/>
      <c r="R16" s="2"/>
      <c r="S16" s="2"/>
    </row>
    <row r="17" spans="1:19" x14ac:dyDescent="0.25">
      <c r="A17" s="2"/>
      <c r="B17" s="5" t="s">
        <v>12</v>
      </c>
      <c r="C17" s="2"/>
      <c r="D17" s="2"/>
      <c r="E17" s="2"/>
      <c r="F17" s="2"/>
      <c r="G17" s="2"/>
      <c r="H17" s="2"/>
      <c r="I17" s="2"/>
      <c r="J17" s="2"/>
      <c r="K17" s="2"/>
      <c r="L17" s="2"/>
      <c r="M17" s="2"/>
      <c r="N17" s="2"/>
      <c r="O17" s="2"/>
      <c r="P17" s="2"/>
      <c r="Q17" s="2"/>
      <c r="R17" s="2"/>
      <c r="S17" s="2"/>
    </row>
    <row r="18" spans="1:19" ht="34.5" customHeight="1" x14ac:dyDescent="0.25">
      <c r="A18" s="2"/>
      <c r="B18" s="180" t="s">
        <v>13</v>
      </c>
      <c r="C18" s="180"/>
      <c r="D18" s="180"/>
      <c r="E18" s="180"/>
      <c r="F18" s="180"/>
      <c r="G18" s="180"/>
      <c r="H18" s="180"/>
      <c r="I18" s="180"/>
      <c r="J18" s="180"/>
      <c r="K18" s="180"/>
      <c r="L18" s="180"/>
      <c r="M18" s="180"/>
      <c r="N18" s="180"/>
      <c r="O18" s="180"/>
      <c r="P18" s="180"/>
      <c r="Q18" s="180"/>
      <c r="R18" s="180"/>
      <c r="S18" s="6"/>
    </row>
    <row r="19" spans="1:19" ht="15.75" customHeight="1" x14ac:dyDescent="0.25">
      <c r="A19" s="2"/>
      <c r="B19" s="2"/>
      <c r="C19" s="2"/>
      <c r="D19" s="2"/>
      <c r="E19" s="2"/>
      <c r="F19" s="2"/>
      <c r="G19" s="2"/>
      <c r="H19" s="2"/>
      <c r="I19" s="2"/>
      <c r="J19" s="2"/>
      <c r="K19" s="2"/>
      <c r="L19" s="2"/>
      <c r="M19" s="2"/>
      <c r="N19" s="2"/>
      <c r="O19" s="2"/>
      <c r="P19" s="2"/>
      <c r="Q19" s="2"/>
      <c r="R19" s="2"/>
      <c r="S19" s="2"/>
    </row>
    <row r="20" spans="1:19" ht="15.75" customHeight="1" x14ac:dyDescent="0.25">
      <c r="A20" s="2"/>
      <c r="B20" s="5" t="s">
        <v>14</v>
      </c>
      <c r="C20" s="2"/>
      <c r="D20" s="2"/>
      <c r="E20" s="2"/>
      <c r="F20" s="2"/>
      <c r="G20" s="2"/>
      <c r="H20" s="2"/>
      <c r="I20" s="2"/>
      <c r="J20" s="2"/>
      <c r="K20" s="2"/>
      <c r="L20" s="2"/>
      <c r="M20" s="2"/>
      <c r="N20" s="2"/>
      <c r="O20" s="2"/>
      <c r="P20" s="2"/>
      <c r="Q20" s="2"/>
      <c r="R20" s="2"/>
      <c r="S20" s="2"/>
    </row>
    <row r="21" spans="1:19" ht="15.75" customHeight="1" x14ac:dyDescent="0.25">
      <c r="A21" s="2"/>
      <c r="B21" s="2" t="s">
        <v>15</v>
      </c>
      <c r="C21" s="2"/>
      <c r="D21" s="2"/>
      <c r="E21" s="2"/>
      <c r="F21" s="2"/>
      <c r="G21" s="2"/>
      <c r="H21" s="2"/>
      <c r="I21" s="2"/>
      <c r="J21" s="2"/>
      <c r="K21" s="2"/>
      <c r="L21" s="2"/>
      <c r="M21" s="2"/>
      <c r="N21" s="2"/>
      <c r="O21" s="2"/>
      <c r="P21" s="2"/>
      <c r="Q21" s="2"/>
      <c r="R21" s="2"/>
      <c r="S21" s="2"/>
    </row>
    <row r="22" spans="1:19" ht="15.75" customHeight="1" x14ac:dyDescent="0.25">
      <c r="A22" s="2"/>
      <c r="B22" s="2" t="s">
        <v>16</v>
      </c>
      <c r="C22" s="2"/>
      <c r="D22" s="2"/>
      <c r="E22" s="2"/>
      <c r="F22" s="2"/>
      <c r="G22" s="2"/>
      <c r="H22" s="2"/>
      <c r="I22" s="2"/>
      <c r="J22" s="2"/>
      <c r="K22" s="2"/>
      <c r="L22" s="2"/>
      <c r="M22" s="2"/>
      <c r="N22" s="2"/>
      <c r="O22" s="2"/>
      <c r="P22" s="2"/>
      <c r="Q22" s="2"/>
      <c r="R22" s="2"/>
      <c r="S22" s="2"/>
    </row>
    <row r="23" spans="1:19" ht="15.75" customHeight="1" x14ac:dyDescent="0.25">
      <c r="A23" s="2"/>
      <c r="B23" s="2" t="s">
        <v>17</v>
      </c>
      <c r="C23" s="2"/>
      <c r="D23" s="2"/>
      <c r="E23" s="2"/>
      <c r="F23" s="2"/>
      <c r="G23" s="2"/>
      <c r="H23" s="2"/>
      <c r="I23" s="2"/>
      <c r="J23" s="2"/>
      <c r="K23" s="2"/>
      <c r="L23" s="2"/>
      <c r="M23" s="2"/>
      <c r="N23" s="2"/>
      <c r="O23" s="2"/>
      <c r="P23" s="2"/>
      <c r="Q23" s="2"/>
      <c r="R23" s="2"/>
      <c r="S23" s="2"/>
    </row>
    <row r="24" spans="1:19" ht="15.75" customHeight="1" x14ac:dyDescent="0.25">
      <c r="A24" s="2"/>
      <c r="B24" s="2" t="s">
        <v>18</v>
      </c>
      <c r="C24" s="2"/>
      <c r="D24" s="2"/>
      <c r="E24" s="2"/>
      <c r="F24" s="2"/>
      <c r="G24" s="2"/>
      <c r="H24" s="2"/>
      <c r="I24" s="2"/>
      <c r="J24" s="2"/>
      <c r="K24" s="2"/>
      <c r="L24" s="2"/>
      <c r="M24" s="2"/>
      <c r="N24" s="2"/>
      <c r="O24" s="2"/>
      <c r="P24" s="2"/>
      <c r="Q24" s="2"/>
      <c r="R24" s="2"/>
      <c r="S24" s="2"/>
    </row>
    <row r="25" spans="1:19" ht="15.75" customHeight="1" x14ac:dyDescent="0.25">
      <c r="A25" s="2"/>
      <c r="B25" s="2" t="s">
        <v>19</v>
      </c>
      <c r="C25" s="2"/>
      <c r="D25" s="2"/>
      <c r="E25" s="2"/>
      <c r="F25" s="2"/>
      <c r="G25" s="2"/>
      <c r="H25" s="2"/>
      <c r="I25" s="2"/>
      <c r="J25" s="2"/>
      <c r="K25" s="2"/>
      <c r="L25" s="2"/>
      <c r="M25" s="2"/>
      <c r="N25" s="2"/>
      <c r="O25" s="2"/>
      <c r="P25" s="2"/>
      <c r="Q25" s="2"/>
      <c r="R25" s="2"/>
      <c r="S25" s="2"/>
    </row>
    <row r="26" spans="1:19" ht="15.75" customHeight="1" x14ac:dyDescent="0.25">
      <c r="A26" s="2"/>
      <c r="B26" s="2"/>
      <c r="C26" s="2"/>
      <c r="D26" s="2"/>
      <c r="E26" s="2"/>
      <c r="F26" s="2"/>
      <c r="G26" s="2"/>
      <c r="H26" s="2"/>
      <c r="I26" s="2"/>
      <c r="J26" s="2"/>
      <c r="K26" s="2"/>
      <c r="L26" s="2"/>
      <c r="M26" s="2"/>
      <c r="N26" s="2"/>
      <c r="O26" s="2"/>
      <c r="P26" s="2"/>
      <c r="Q26" s="2"/>
      <c r="R26" s="2"/>
      <c r="S26" s="2"/>
    </row>
    <row r="27" spans="1:19" ht="15.75" customHeight="1" x14ac:dyDescent="0.25">
      <c r="B27" s="9"/>
      <c r="C27" s="1"/>
      <c r="D27" s="1"/>
      <c r="E27" s="1"/>
      <c r="F27" s="1"/>
      <c r="G27" s="1"/>
      <c r="H27" s="1"/>
      <c r="I27" s="1"/>
      <c r="J27" s="1"/>
      <c r="K27" s="1"/>
      <c r="L27" s="1"/>
      <c r="M27" s="1"/>
      <c r="N27" s="1"/>
      <c r="O27" s="1"/>
      <c r="P27" s="1"/>
      <c r="Q27" s="1"/>
      <c r="R27" s="1"/>
    </row>
    <row r="28" spans="1:19" ht="15.75" customHeight="1" x14ac:dyDescent="0.25">
      <c r="B28" s="1"/>
      <c r="C28" s="1"/>
      <c r="D28" s="1"/>
      <c r="E28" s="1"/>
      <c r="F28" s="1"/>
      <c r="G28" s="1"/>
      <c r="H28" s="1"/>
      <c r="I28" s="1"/>
      <c r="J28" s="1"/>
      <c r="K28" s="1"/>
      <c r="L28" s="1"/>
      <c r="M28" s="1"/>
      <c r="N28" s="1"/>
      <c r="O28" s="1"/>
      <c r="P28" s="1"/>
      <c r="Q28" s="1"/>
      <c r="R28" s="1"/>
    </row>
    <row r="29" spans="1:19" ht="15.75" customHeight="1" x14ac:dyDescent="0.25">
      <c r="B29" s="1"/>
      <c r="C29" s="1"/>
      <c r="D29" s="1"/>
      <c r="E29" s="1"/>
      <c r="F29" s="1"/>
      <c r="G29" s="1"/>
      <c r="H29" s="1"/>
      <c r="I29" s="1"/>
      <c r="J29" s="1"/>
      <c r="K29" s="1"/>
      <c r="L29" s="1"/>
      <c r="M29" s="1"/>
      <c r="N29" s="1"/>
      <c r="O29" s="1"/>
      <c r="P29" s="1"/>
      <c r="Q29" s="1"/>
      <c r="R29" s="1"/>
    </row>
  </sheetData>
  <sheetProtection algorithmName="SHA-512" hashValue="m8X15AHsme+/0Bd4G4gk5TD60Slgt4e5ki3JZCCzhk6AfeaVGqytYjDHWC2VyCMkcYo5HGIExOPM1+uRXc1YtQ==" saltValue="NB1f6Zbpqg6gWMYbiNtpbQ==" spinCount="100000" sheet="1" objects="1" scenarios="1"/>
  <mergeCells count="6">
    <mergeCell ref="B18:R18"/>
    <mergeCell ref="L5:N5"/>
    <mergeCell ref="B13:R13"/>
    <mergeCell ref="B14:K14"/>
    <mergeCell ref="L14:N14"/>
    <mergeCell ref="B15:R15"/>
  </mergeCells>
  <hyperlinks>
    <hyperlink ref="L5" r:id="rId1" xr:uid="{00000000-0004-0000-0000-000000000000}"/>
    <hyperlink ref="B14" r:id="rId2" xr:uid="{00000000-0004-0000-0000-000001000000}"/>
  </hyperlinks>
  <pageMargins left="0.7" right="0.7" top="0.78749999999999998" bottom="0.78749999999999998" header="0.511811023622047" footer="0.511811023622047"/>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31"/>
  <sheetViews>
    <sheetView zoomScaleNormal="100" workbookViewId="0">
      <pane ySplit="7" topLeftCell="A8" activePane="bottomLeft" state="frozen"/>
      <selection pane="bottomLeft" activeCell="P128" sqref="P128"/>
    </sheetView>
  </sheetViews>
  <sheetFormatPr baseColWidth="10" defaultColWidth="10.5703125" defaultRowHeight="15" x14ac:dyDescent="0.25"/>
  <cols>
    <col min="1" max="1" width="4.5703125" style="1" customWidth="1"/>
    <col min="2" max="2" width="30.28515625" style="10" customWidth="1"/>
    <col min="3" max="3" width="7.140625" style="10" customWidth="1"/>
    <col min="4" max="4" width="17.42578125" style="10" customWidth="1"/>
    <col min="5" max="5" width="8.28515625" style="10" customWidth="1"/>
    <col min="6" max="6" width="49.42578125" style="1" customWidth="1"/>
    <col min="7" max="7" width="25.42578125" style="1" customWidth="1"/>
    <col min="8" max="8" width="25.28515625" style="1" customWidth="1"/>
    <col min="9" max="9" width="25.28515625" style="11" customWidth="1"/>
    <col min="10" max="10" width="25.42578125" style="11" customWidth="1"/>
    <col min="11" max="11" width="14" style="1" customWidth="1"/>
    <col min="12" max="12" width="22.28515625" style="1" customWidth="1"/>
    <col min="13" max="13" width="18.140625" style="1" customWidth="1"/>
    <col min="14" max="14" width="2.85546875" style="1" customWidth="1"/>
    <col min="15" max="15" width="26.7109375" style="1" customWidth="1"/>
    <col min="16" max="16" width="14" style="1" customWidth="1"/>
    <col min="17" max="24" width="11.140625" style="1" customWidth="1"/>
  </cols>
  <sheetData>
    <row r="1" spans="1:14" ht="15.75" customHeight="1" x14ac:dyDescent="0.25">
      <c r="A1" s="12"/>
      <c r="B1" s="12"/>
      <c r="C1" s="12"/>
      <c r="D1" s="12"/>
      <c r="E1" s="12"/>
      <c r="F1" s="12"/>
      <c r="G1" s="12"/>
      <c r="H1" s="12"/>
      <c r="I1" s="13"/>
      <c r="J1" s="13"/>
      <c r="K1" s="12"/>
      <c r="L1" s="12"/>
      <c r="M1" s="12"/>
      <c r="N1" s="12"/>
    </row>
    <row r="2" spans="1:14" ht="15.75" customHeight="1" x14ac:dyDescent="0.25">
      <c r="A2" s="12"/>
      <c r="B2" s="184" t="s">
        <v>20</v>
      </c>
      <c r="C2" s="184"/>
      <c r="D2" s="184"/>
      <c r="E2" s="184"/>
      <c r="F2" s="12"/>
      <c r="G2" s="197" t="s">
        <v>358</v>
      </c>
      <c r="H2" s="197"/>
      <c r="I2" s="197"/>
      <c r="J2" s="197" t="s">
        <v>21</v>
      </c>
      <c r="K2" s="197"/>
      <c r="L2" s="197"/>
      <c r="M2" s="197"/>
      <c r="N2" s="12"/>
    </row>
    <row r="3" spans="1:14" ht="15.75" customHeight="1" x14ac:dyDescent="0.25">
      <c r="A3" s="12"/>
      <c r="B3" s="14" t="s">
        <v>22</v>
      </c>
      <c r="C3" s="196">
        <v>150</v>
      </c>
      <c r="D3" s="196"/>
      <c r="E3" s="14" t="s">
        <v>23</v>
      </c>
      <c r="F3" s="12"/>
      <c r="G3" s="12"/>
      <c r="H3" s="12"/>
      <c r="I3" s="13"/>
      <c r="J3" s="13"/>
      <c r="K3" s="12"/>
      <c r="L3" s="12"/>
      <c r="M3" s="12"/>
      <c r="N3" s="12"/>
    </row>
    <row r="4" spans="1:14" ht="15.75" customHeight="1" x14ac:dyDescent="0.25">
      <c r="A4" s="12"/>
      <c r="B4" s="14" t="s">
        <v>24</v>
      </c>
      <c r="C4" s="196">
        <v>1</v>
      </c>
      <c r="D4" s="196"/>
      <c r="E4" s="14" t="s">
        <v>25</v>
      </c>
      <c r="F4" s="12"/>
      <c r="G4" s="15" t="s">
        <v>26</v>
      </c>
      <c r="H4" s="15"/>
      <c r="I4" s="13"/>
      <c r="J4" s="13"/>
      <c r="K4" s="12"/>
      <c r="L4" s="12"/>
      <c r="M4" s="12"/>
      <c r="N4" s="12"/>
    </row>
    <row r="5" spans="1:14" ht="15.75" customHeight="1" x14ac:dyDescent="0.25">
      <c r="A5" s="12"/>
      <c r="B5" s="14" t="s">
        <v>27</v>
      </c>
      <c r="C5" s="195" t="s">
        <v>28</v>
      </c>
      <c r="D5" s="195"/>
      <c r="E5" s="14" t="s">
        <v>25</v>
      </c>
      <c r="F5" s="12"/>
      <c r="G5" s="12"/>
      <c r="H5" s="12"/>
      <c r="I5" s="13"/>
      <c r="J5" s="13"/>
      <c r="K5" s="12"/>
      <c r="L5" s="12"/>
      <c r="M5" s="12"/>
      <c r="N5" s="12"/>
    </row>
    <row r="6" spans="1:14" ht="15.75" customHeight="1" x14ac:dyDescent="0.25">
      <c r="A6" s="12"/>
      <c r="B6" s="14" t="s">
        <v>29</v>
      </c>
      <c r="C6" s="196">
        <v>20</v>
      </c>
      <c r="D6" s="196"/>
      <c r="E6" s="14" t="s">
        <v>30</v>
      </c>
      <c r="F6" s="13"/>
      <c r="G6" s="12"/>
      <c r="H6" s="12"/>
      <c r="I6" s="13"/>
      <c r="J6" s="13"/>
      <c r="K6" s="12"/>
      <c r="L6" s="12"/>
      <c r="M6" s="12"/>
      <c r="N6" s="12"/>
    </row>
    <row r="7" spans="1:14" ht="15.75" customHeight="1" x14ac:dyDescent="0.25">
      <c r="A7" s="12"/>
      <c r="B7" s="14" t="s">
        <v>31</v>
      </c>
      <c r="C7" s="196">
        <v>50</v>
      </c>
      <c r="D7" s="196"/>
      <c r="E7" s="14" t="s">
        <v>30</v>
      </c>
      <c r="F7" s="12"/>
      <c r="G7" s="12"/>
      <c r="H7" s="12"/>
      <c r="I7" s="13"/>
      <c r="J7" s="13"/>
      <c r="K7" s="12"/>
      <c r="L7" s="12"/>
      <c r="M7" s="12"/>
      <c r="N7" s="12"/>
    </row>
    <row r="8" spans="1:14" ht="15.75" customHeight="1" x14ac:dyDescent="0.25">
      <c r="A8" s="12"/>
      <c r="B8" s="16"/>
      <c r="C8" s="16"/>
      <c r="D8" s="16"/>
      <c r="E8" s="17"/>
      <c r="F8" s="12"/>
      <c r="G8" s="12"/>
      <c r="H8" s="12"/>
      <c r="I8" s="13"/>
      <c r="J8" s="13"/>
      <c r="K8" s="12"/>
      <c r="L8" s="12"/>
      <c r="M8" s="12"/>
      <c r="N8" s="12"/>
    </row>
    <row r="9" spans="1:14" ht="15.75" customHeight="1" x14ac:dyDescent="0.25">
      <c r="A9" s="12"/>
      <c r="B9" s="184" t="s">
        <v>32</v>
      </c>
      <c r="C9" s="184"/>
      <c r="D9" s="184"/>
      <c r="E9" s="184"/>
      <c r="F9" s="13"/>
      <c r="G9" s="16"/>
      <c r="H9" s="16"/>
      <c r="I9" s="17"/>
      <c r="J9" s="13"/>
      <c r="K9" s="12"/>
      <c r="L9" s="12"/>
      <c r="M9" s="12"/>
      <c r="N9" s="12"/>
    </row>
    <row r="10" spans="1:14" ht="15.75" customHeight="1" x14ac:dyDescent="0.25">
      <c r="A10" s="12"/>
      <c r="B10" s="14" t="s">
        <v>33</v>
      </c>
      <c r="C10" s="18">
        <v>78.400000000000006</v>
      </c>
      <c r="D10" s="194"/>
      <c r="E10" s="194"/>
      <c r="F10" s="12"/>
      <c r="G10" s="16"/>
      <c r="H10" s="16"/>
      <c r="I10" s="17"/>
      <c r="J10" s="13"/>
      <c r="K10" s="12"/>
      <c r="L10" s="12"/>
      <c r="M10" s="12"/>
      <c r="N10" s="12"/>
    </row>
    <row r="11" spans="1:14" ht="15.75" customHeight="1" x14ac:dyDescent="0.25">
      <c r="A11" s="12"/>
      <c r="B11" s="20" t="s">
        <v>34</v>
      </c>
      <c r="C11" s="21">
        <v>137</v>
      </c>
      <c r="D11" s="193" t="s">
        <v>35</v>
      </c>
      <c r="E11" s="193"/>
      <c r="F11" s="12"/>
      <c r="G11" s="16"/>
      <c r="H11" s="16"/>
      <c r="I11" s="17"/>
      <c r="J11" s="13"/>
      <c r="K11" s="12"/>
      <c r="L11" s="12"/>
      <c r="M11" s="12"/>
      <c r="N11" s="12"/>
    </row>
    <row r="12" spans="1:14" ht="15.75" customHeight="1" x14ac:dyDescent="0.25">
      <c r="A12" s="12"/>
      <c r="B12" s="22" t="s">
        <v>36</v>
      </c>
      <c r="C12" s="18">
        <f>((C11/C10)*100)</f>
        <v>174.74489795918367</v>
      </c>
      <c r="D12" s="193" t="s">
        <v>37</v>
      </c>
      <c r="E12" s="193"/>
      <c r="F12" s="12"/>
      <c r="G12" s="16"/>
      <c r="H12" s="16"/>
      <c r="I12" s="17"/>
      <c r="J12" s="13"/>
      <c r="K12" s="12"/>
      <c r="L12" s="12"/>
      <c r="M12" s="12"/>
      <c r="N12" s="12"/>
    </row>
    <row r="13" spans="1:14" ht="15.75" customHeight="1" x14ac:dyDescent="0.25">
      <c r="A13" s="12"/>
      <c r="B13" s="22" t="s">
        <v>38</v>
      </c>
      <c r="C13" s="23">
        <v>1.0009999999999999</v>
      </c>
      <c r="D13" s="193" t="s">
        <v>39</v>
      </c>
      <c r="E13" s="193"/>
      <c r="F13" s="12"/>
      <c r="G13" s="16"/>
      <c r="H13" s="16"/>
      <c r="I13" s="17"/>
      <c r="J13" s="13"/>
      <c r="K13" s="12"/>
      <c r="L13" s="12"/>
      <c r="M13" s="12"/>
      <c r="N13" s="12"/>
    </row>
    <row r="14" spans="1:14" ht="15.75" customHeight="1" x14ac:dyDescent="0.25">
      <c r="A14" s="12"/>
      <c r="B14" s="24" t="s">
        <v>40</v>
      </c>
      <c r="C14" s="25">
        <f>((C12/100)*C13*100)</f>
        <v>174.91964285714283</v>
      </c>
      <c r="D14" s="194"/>
      <c r="E14" s="194"/>
      <c r="F14" s="12"/>
      <c r="G14" s="12"/>
      <c r="H14" s="12"/>
      <c r="I14" s="13"/>
      <c r="J14" s="13"/>
      <c r="K14" s="12"/>
      <c r="L14" s="12"/>
      <c r="M14" s="12"/>
      <c r="N14" s="12"/>
    </row>
    <row r="15" spans="1:14" ht="15.75" customHeight="1" x14ac:dyDescent="0.25">
      <c r="A15" s="12"/>
      <c r="B15" s="16"/>
      <c r="C15" s="16"/>
      <c r="D15" s="16"/>
      <c r="E15" s="17"/>
      <c r="F15" s="12"/>
      <c r="G15" s="12"/>
      <c r="H15" s="12"/>
      <c r="I15" s="13"/>
      <c r="J15" s="13"/>
      <c r="K15" s="12"/>
      <c r="L15" s="12"/>
      <c r="M15" s="12"/>
      <c r="N15" s="12"/>
    </row>
    <row r="16" spans="1:14" ht="15.75" customHeight="1" x14ac:dyDescent="0.25">
      <c r="A16" s="12"/>
      <c r="B16" s="22" t="s">
        <v>41</v>
      </c>
      <c r="C16" s="26">
        <v>0.15</v>
      </c>
      <c r="D16" s="193" t="s">
        <v>42</v>
      </c>
      <c r="E16" s="193"/>
      <c r="F16" s="12"/>
      <c r="G16" s="12"/>
      <c r="H16" s="12"/>
      <c r="I16" s="13"/>
      <c r="J16" s="13"/>
      <c r="K16" s="12"/>
      <c r="L16" s="12"/>
      <c r="M16" s="12"/>
      <c r="N16" s="12"/>
    </row>
    <row r="17" spans="1:16" ht="15.75" customHeight="1" x14ac:dyDescent="0.25">
      <c r="A17" s="12"/>
      <c r="B17" s="16"/>
      <c r="C17" s="16"/>
      <c r="D17" s="16"/>
      <c r="E17" s="17"/>
      <c r="F17" s="13"/>
      <c r="G17" s="12"/>
      <c r="H17" s="12"/>
      <c r="I17" s="13"/>
      <c r="J17" s="13"/>
      <c r="K17" s="12"/>
      <c r="L17" s="12"/>
      <c r="M17" s="12"/>
      <c r="N17" s="12"/>
    </row>
    <row r="18" spans="1:16" ht="45" customHeight="1" x14ac:dyDescent="0.25">
      <c r="A18" s="12"/>
      <c r="B18" s="187" t="s">
        <v>43</v>
      </c>
      <c r="C18" s="187"/>
      <c r="D18" s="187"/>
      <c r="E18" s="187"/>
      <c r="F18" s="27" t="s">
        <v>44</v>
      </c>
      <c r="G18" s="188" t="s">
        <v>45</v>
      </c>
      <c r="H18" s="188"/>
      <c r="I18" s="28" t="s">
        <v>46</v>
      </c>
      <c r="J18" s="28" t="s">
        <v>47</v>
      </c>
      <c r="K18" s="188" t="s">
        <v>48</v>
      </c>
      <c r="L18" s="188"/>
      <c r="M18" s="28" t="s">
        <v>49</v>
      </c>
      <c r="N18" s="12"/>
    </row>
    <row r="19" spans="1:16" ht="15.75" customHeight="1" x14ac:dyDescent="0.25">
      <c r="A19" s="12"/>
      <c r="B19" s="184" t="str">
        <f>F19</f>
        <v>Fenster und Türen</v>
      </c>
      <c r="C19" s="184"/>
      <c r="D19" s="184"/>
      <c r="E19" s="184"/>
      <c r="F19" s="29" t="s">
        <v>50</v>
      </c>
      <c r="G19" s="30" t="s">
        <v>327</v>
      </c>
      <c r="H19" s="30" t="s">
        <v>325</v>
      </c>
      <c r="I19" s="171" t="s">
        <v>325</v>
      </c>
      <c r="J19" s="30" t="str">
        <f>I19</f>
        <v>[€]</v>
      </c>
      <c r="K19" s="31" t="s">
        <v>51</v>
      </c>
      <c r="L19" s="31" t="s">
        <v>52</v>
      </c>
      <c r="M19" s="31" t="s">
        <v>53</v>
      </c>
      <c r="N19" s="12"/>
    </row>
    <row r="20" spans="1:16" ht="15.75" customHeight="1" x14ac:dyDescent="0.25">
      <c r="A20" s="12"/>
      <c r="B20" s="32" t="s">
        <v>54</v>
      </c>
      <c r="C20" s="33">
        <v>2</v>
      </c>
      <c r="D20" s="34" t="s">
        <v>55</v>
      </c>
      <c r="E20" s="35"/>
      <c r="F20" s="36" t="s">
        <v>56</v>
      </c>
      <c r="G20" s="37">
        <f>ROUND((1+C16)*(Daten!D10*$C$20^Daten!E10*$C$14/100),-1)</f>
        <v>1110</v>
      </c>
      <c r="H20" s="37">
        <f>ROUND((G20*$C$21),-2)</f>
        <v>33300</v>
      </c>
      <c r="I20" s="37">
        <f>IF(I19=Daten!$C$172,ROUND($G$22* IF($C$7&lt;=M20,(C7/M20),1),-1),ROUND($G$22*C21* IF($C$7&lt;=M20,(C7/M20),1),-1))</f>
        <v>21300</v>
      </c>
      <c r="J20" s="37">
        <f>IF($I$19=Daten!$C$172,G20-I20,H20-I20)</f>
        <v>12000</v>
      </c>
      <c r="K20" s="38" t="s">
        <v>57</v>
      </c>
      <c r="L20" s="39" t="s">
        <v>58</v>
      </c>
      <c r="M20" s="50">
        <v>50</v>
      </c>
      <c r="N20" s="12"/>
    </row>
    <row r="21" spans="1:16" ht="15.75" customHeight="1" x14ac:dyDescent="0.25">
      <c r="A21" s="12"/>
      <c r="B21" s="40" t="s">
        <v>59</v>
      </c>
      <c r="C21" s="41">
        <v>30</v>
      </c>
      <c r="D21" s="42" t="s">
        <v>55</v>
      </c>
      <c r="E21" s="43"/>
      <c r="F21" s="36" t="s">
        <v>60</v>
      </c>
      <c r="G21" s="37">
        <f>ROUND((1+C16)*(Daten!D11*$C$20^Daten!E11*$C$14/100),-1)</f>
        <v>810</v>
      </c>
      <c r="H21" s="37">
        <f>ROUND((G21*$C$21),-2)</f>
        <v>24300</v>
      </c>
      <c r="I21" s="37">
        <f>IF(I19=Daten!$C$172,ROUND($G$22*IF($C$7&lt;=M21,(C7/M21),1),-1),ROUND($G$22*C21*IF($C$7&lt;=M21,(C7/M21),1),-1))</f>
        <v>21300</v>
      </c>
      <c r="J21" s="37">
        <f>IF($I$19=Daten!$C$172,G21-I21,H21-I21)</f>
        <v>3000</v>
      </c>
      <c r="K21" s="38" t="s">
        <v>61</v>
      </c>
      <c r="L21" s="39" t="s">
        <v>58</v>
      </c>
      <c r="M21" s="50">
        <v>50</v>
      </c>
      <c r="N21" s="12"/>
    </row>
    <row r="22" spans="1:16" ht="15.75" customHeight="1" x14ac:dyDescent="0.25">
      <c r="A22" s="12"/>
      <c r="B22" s="44"/>
      <c r="C22" s="45"/>
      <c r="D22" s="45"/>
      <c r="E22" s="46"/>
      <c r="F22" s="36" t="s">
        <v>62</v>
      </c>
      <c r="G22" s="37">
        <f>ROUND((1+C16)*(Daten!D12*$C$20^Daten!E12*$C$14/100),-1)</f>
        <v>710</v>
      </c>
      <c r="H22" s="37">
        <f>ROUND((G22*$C$21),-2)</f>
        <v>21300</v>
      </c>
      <c r="I22" s="37">
        <f>IF(I19=Daten!$C$172,ROUND($G$22* IF($C$7&lt;=M22,(C7/M22),1),-1),ROUND($G$22*C21*IF($C$7&lt;=M22,(C7/M22),1),-1))</f>
        <v>21300</v>
      </c>
      <c r="J22" s="37">
        <f>IF($I$19=Daten!$C$172,G22-I22,H22-I22)</f>
        <v>0</v>
      </c>
      <c r="K22" s="38" t="s">
        <v>63</v>
      </c>
      <c r="L22" s="39" t="s">
        <v>58</v>
      </c>
      <c r="M22" s="50">
        <v>50</v>
      </c>
      <c r="N22" s="12"/>
    </row>
    <row r="23" spans="1:16" ht="15.75" customHeight="1" x14ac:dyDescent="0.25">
      <c r="A23" s="12"/>
      <c r="B23" s="47" t="s">
        <v>64</v>
      </c>
      <c r="C23" s="34"/>
      <c r="D23" s="34"/>
      <c r="E23" s="48"/>
      <c r="F23" s="36" t="s">
        <v>65</v>
      </c>
      <c r="G23" s="49" t="s">
        <v>66</v>
      </c>
      <c r="H23" s="49">
        <f>ROUND((1+C16)*Daten!C15*$C$14/100,-1)</f>
        <v>2880</v>
      </c>
      <c r="I23" s="49" t="s">
        <v>67</v>
      </c>
      <c r="J23" s="49" t="s">
        <v>67</v>
      </c>
      <c r="K23" s="185" t="s">
        <v>68</v>
      </c>
      <c r="L23" s="185"/>
      <c r="M23" s="50">
        <v>50</v>
      </c>
      <c r="N23" s="12"/>
    </row>
    <row r="24" spans="1:16" ht="15.75" customHeight="1" x14ac:dyDescent="0.25">
      <c r="A24" s="12"/>
      <c r="B24" s="44"/>
      <c r="C24" s="45"/>
      <c r="D24" s="45"/>
      <c r="E24" s="46"/>
      <c r="F24" s="14" t="s">
        <v>69</v>
      </c>
      <c r="G24" s="49" t="s">
        <v>66</v>
      </c>
      <c r="H24" s="49">
        <f>ROUND((1+C16)*Daten!C16*$C$14/100,-1)</f>
        <v>2890</v>
      </c>
      <c r="I24" s="49" t="s">
        <v>67</v>
      </c>
      <c r="J24" s="49" t="s">
        <v>67</v>
      </c>
      <c r="K24" s="185" t="s">
        <v>68</v>
      </c>
      <c r="L24" s="185"/>
      <c r="M24" s="50">
        <v>50</v>
      </c>
      <c r="N24" s="12"/>
    </row>
    <row r="25" spans="1:16" ht="15.75" customHeight="1" x14ac:dyDescent="0.25">
      <c r="A25" s="12"/>
      <c r="B25" s="32" t="s">
        <v>70</v>
      </c>
      <c r="C25" s="33">
        <v>2</v>
      </c>
      <c r="D25" s="34" t="s">
        <v>55</v>
      </c>
      <c r="E25" s="48"/>
      <c r="F25" s="14" t="s">
        <v>71</v>
      </c>
      <c r="G25" s="49">
        <f>ROUND((1+C16)*Daten!C19*$C$14/100,-1)</f>
        <v>2880</v>
      </c>
      <c r="H25" s="49">
        <f>ROUND($C$25*G25,-1)</f>
        <v>5760</v>
      </c>
      <c r="I25" s="49">
        <f>IF(I19=Daten!$C$172,ROUND((G25-0.33*G25)*IF($C$7&lt;=M25,(C7/M25),1),-1),ROUND((G25-0.33*G25)*C25*IF($C$7&lt;=M25,(C7/M25),1),-1))</f>
        <v>3860</v>
      </c>
      <c r="J25" s="49">
        <f>IF($I$19=Daten!$C$172,G25-I25,H25-I25)</f>
        <v>1900</v>
      </c>
      <c r="K25" s="185" t="s">
        <v>68</v>
      </c>
      <c r="L25" s="185"/>
      <c r="M25" s="50">
        <v>50</v>
      </c>
      <c r="N25" s="12"/>
    </row>
    <row r="26" spans="1:16" ht="15.75" customHeight="1" x14ac:dyDescent="0.25">
      <c r="A26" s="12"/>
      <c r="B26" s="44"/>
      <c r="C26" s="45"/>
      <c r="D26" s="45"/>
      <c r="E26" s="46"/>
      <c r="F26" s="14" t="s">
        <v>72</v>
      </c>
      <c r="G26" s="49">
        <f>ROUND((1+C16)*Daten!C20*$C$14/100,-1)</f>
        <v>2460</v>
      </c>
      <c r="H26" s="49">
        <f>ROUND($C$25*G26,-1)</f>
        <v>4920</v>
      </c>
      <c r="I26" s="49">
        <f>IF(I19=Daten!$C$172,ROUND((G26-0.33*G26)*IF($C$7&lt;=M26,(C7/M26),1),-1),ROUND((G26-0.33*G26)*C25*IF($C$7&lt;=M26,(C7/M26),1),-1))</f>
        <v>3300</v>
      </c>
      <c r="J26" s="49">
        <f>IF($I$19=Daten!$C$172,G26-I26,H26-I26)</f>
        <v>1620</v>
      </c>
      <c r="K26" s="185" t="s">
        <v>68</v>
      </c>
      <c r="L26" s="185"/>
      <c r="M26" s="50">
        <v>50</v>
      </c>
      <c r="N26" s="12"/>
      <c r="P26" s="51"/>
    </row>
    <row r="27" spans="1:16" ht="15.75" customHeight="1" x14ac:dyDescent="0.25">
      <c r="A27" s="12"/>
      <c r="B27" s="52" t="s">
        <v>73</v>
      </c>
      <c r="C27" s="53">
        <v>2</v>
      </c>
      <c r="D27" s="54" t="s">
        <v>55</v>
      </c>
      <c r="E27" s="55"/>
      <c r="F27" s="14" t="s">
        <v>74</v>
      </c>
      <c r="G27" s="49">
        <f>ROUND((1+$C$16)*Daten!C22*$C$14/100,-1)</f>
        <v>1010</v>
      </c>
      <c r="H27" s="49">
        <f>ROUND($C$27*G27,-1)</f>
        <v>2020</v>
      </c>
      <c r="I27" s="49">
        <f>IF(I19=Daten!$C$172,ROUND((G27-0.33*G27)*IF($C$7&lt;=M27,(C7/M27),1),-1),ROUND((G27-0.33*G27)*C27*IF($C$7&lt;=M27,(C7/M27),1),-1))</f>
        <v>1350</v>
      </c>
      <c r="J27" s="49">
        <f>IF($I$19=Daten!$C$172,G27-I27,H27-I27)</f>
        <v>670</v>
      </c>
      <c r="K27" s="185" t="s">
        <v>68</v>
      </c>
      <c r="L27" s="185"/>
      <c r="M27" s="50">
        <v>50</v>
      </c>
      <c r="N27" s="12"/>
    </row>
    <row r="28" spans="1:16" ht="15.75" customHeight="1" x14ac:dyDescent="0.25">
      <c r="A28" s="12"/>
      <c r="B28" s="12"/>
      <c r="C28" s="12"/>
      <c r="D28" s="12"/>
      <c r="E28" s="12"/>
      <c r="F28" s="186"/>
      <c r="G28" s="186"/>
      <c r="H28" s="186"/>
      <c r="I28" s="186"/>
      <c r="J28" s="186"/>
      <c r="K28" s="186"/>
      <c r="L28" s="186"/>
      <c r="M28" s="186"/>
      <c r="N28" s="12"/>
      <c r="P28" s="51"/>
    </row>
    <row r="29" spans="1:16" ht="45" customHeight="1" x14ac:dyDescent="0.25">
      <c r="A29" s="12"/>
      <c r="B29" s="187" t="s">
        <v>43</v>
      </c>
      <c r="C29" s="187"/>
      <c r="D29" s="187"/>
      <c r="E29" s="187"/>
      <c r="F29" s="27" t="s">
        <v>44</v>
      </c>
      <c r="G29" s="188" t="s">
        <v>45</v>
      </c>
      <c r="H29" s="188"/>
      <c r="I29" s="28" t="s">
        <v>46</v>
      </c>
      <c r="J29" s="28" t="s">
        <v>47</v>
      </c>
      <c r="K29" s="188" t="s">
        <v>48</v>
      </c>
      <c r="L29" s="188"/>
      <c r="M29" s="28" t="s">
        <v>49</v>
      </c>
      <c r="N29" s="12"/>
      <c r="P29" s="51"/>
    </row>
    <row r="30" spans="1:16" ht="15.75" customHeight="1" x14ac:dyDescent="0.25">
      <c r="A30" s="12"/>
      <c r="B30" s="184" t="str">
        <f>F30</f>
        <v>Opake Bauteile</v>
      </c>
      <c r="C30" s="184"/>
      <c r="D30" s="184"/>
      <c r="E30" s="184"/>
      <c r="F30" s="29" t="s">
        <v>75</v>
      </c>
      <c r="G30" s="30" t="s">
        <v>327</v>
      </c>
      <c r="H30" s="30" t="s">
        <v>325</v>
      </c>
      <c r="I30" s="171" t="s">
        <v>325</v>
      </c>
      <c r="J30" s="30" t="str">
        <f>I30</f>
        <v>[€]</v>
      </c>
      <c r="K30" s="31" t="s">
        <v>51</v>
      </c>
      <c r="L30" s="31" t="s">
        <v>52</v>
      </c>
      <c r="M30" s="31" t="s">
        <v>53</v>
      </c>
      <c r="N30" s="12"/>
      <c r="P30" s="51"/>
    </row>
    <row r="31" spans="1:16" ht="15.75" customHeight="1" x14ac:dyDescent="0.25">
      <c r="A31" s="12"/>
      <c r="B31" s="32" t="s">
        <v>76</v>
      </c>
      <c r="C31" s="56">
        <v>180</v>
      </c>
      <c r="D31" s="34" t="s">
        <v>55</v>
      </c>
      <c r="E31" s="48"/>
      <c r="F31" s="14" t="s">
        <v>77</v>
      </c>
      <c r="G31" s="37">
        <f>ROUND((1+C16)*(((Daten!B25*$C$34)+Daten!C25))*$C$14/100,0)</f>
        <v>285</v>
      </c>
      <c r="H31" s="37">
        <f t="shared" ref="H31:H43" si="0">ROUND((G31*$C$31),-2)</f>
        <v>51300</v>
      </c>
      <c r="I31" s="37">
        <f>IF(I30=Daten!$C$171,ROUND(IF($C$7&lt;=M31,(C7/M31),1) * (H31-((((Daten!B26*$C$34)+Daten!C26))*($C$14/100)*(1+$C$16))*C31),-2),ROUND(IF($C$7&lt;=M31,(C7/M31),1) * (H31-((((Daten!B26*$C$34)+Daten!C26))*($C$14/100)*(1+$C$16))*C31),-2)/C31)</f>
        <v>27900</v>
      </c>
      <c r="J31" s="37">
        <f>IF(I30=Daten!$C$171,H31-I31,G31-I31)</f>
        <v>23400</v>
      </c>
      <c r="K31" s="38" t="s">
        <v>78</v>
      </c>
      <c r="L31" s="39" t="s">
        <v>79</v>
      </c>
      <c r="M31" s="50">
        <v>30</v>
      </c>
      <c r="N31" s="12"/>
      <c r="P31" s="51"/>
    </row>
    <row r="32" spans="1:16" ht="15.75" customHeight="1" x14ac:dyDescent="0.25">
      <c r="A32" s="12"/>
      <c r="B32" s="40" t="s">
        <v>80</v>
      </c>
      <c r="C32" s="57">
        <v>16</v>
      </c>
      <c r="D32" s="58" t="s">
        <v>81</v>
      </c>
      <c r="E32" s="43"/>
      <c r="F32" s="14" t="s">
        <v>82</v>
      </c>
      <c r="G32" s="37">
        <f>ROUND((1+C16)*(((Daten!B27*$C$34)+Daten!C27))*$C$14/100,0)</f>
        <v>74</v>
      </c>
      <c r="H32" s="37">
        <f t="shared" si="0"/>
        <v>13300</v>
      </c>
      <c r="I32" s="37">
        <v>0</v>
      </c>
      <c r="J32" s="37">
        <f>IF(I30=Daten!$C$171,H32,H32/C31)</f>
        <v>13300</v>
      </c>
      <c r="K32" s="38" t="s">
        <v>83</v>
      </c>
      <c r="L32" s="39" t="s">
        <v>79</v>
      </c>
      <c r="M32" s="50">
        <v>30</v>
      </c>
      <c r="N32" s="12"/>
      <c r="P32" s="51"/>
    </row>
    <row r="33" spans="1:16" ht="15.75" customHeight="1" x14ac:dyDescent="0.25">
      <c r="A33" s="12"/>
      <c r="B33" s="40" t="s">
        <v>84</v>
      </c>
      <c r="C33" s="59">
        <v>3.5000000000000003E-2</v>
      </c>
      <c r="D33" s="58" t="s">
        <v>85</v>
      </c>
      <c r="E33" s="43"/>
      <c r="F33" s="14" t="s">
        <v>86</v>
      </c>
      <c r="G33" s="37">
        <f>ROUND((1+C16)*(((Daten!B28*$C$34)+Daten!C28))*$C$14/100,0)</f>
        <v>102</v>
      </c>
      <c r="H33" s="37">
        <f t="shared" si="0"/>
        <v>18400</v>
      </c>
      <c r="I33" s="37">
        <f>IF(I30=Daten!$C$171,H33-J33,G33-J33)</f>
        <v>0</v>
      </c>
      <c r="J33" s="37">
        <f>IF(I30=Daten!$C$171,H33,G33)</f>
        <v>18400</v>
      </c>
      <c r="K33" s="38" t="s">
        <v>87</v>
      </c>
      <c r="L33" s="39" t="s">
        <v>79</v>
      </c>
      <c r="M33" s="50">
        <v>50</v>
      </c>
      <c r="N33" s="12"/>
    </row>
    <row r="34" spans="1:16" ht="15.75" customHeight="1" x14ac:dyDescent="0.25">
      <c r="A34" s="12"/>
      <c r="B34" s="40" t="s">
        <v>88</v>
      </c>
      <c r="C34" s="58">
        <f>C32/C33*0.035</f>
        <v>16</v>
      </c>
      <c r="D34" s="58" t="s">
        <v>81</v>
      </c>
      <c r="E34" s="43"/>
      <c r="F34" s="14" t="s">
        <v>89</v>
      </c>
      <c r="G34" s="37">
        <f>ROUND((1+C16)*(((Daten!B29*$C$34)+Daten!C29))*$C$14/100,0)</f>
        <v>159</v>
      </c>
      <c r="H34" s="37">
        <f t="shared" si="0"/>
        <v>28600</v>
      </c>
      <c r="I34" s="37">
        <f>IF(I30=Daten!$C$171,H34-J34,G34-J34)</f>
        <v>0</v>
      </c>
      <c r="J34" s="37">
        <f>IF(I30=Daten!$C$171,H34,G34)</f>
        <v>28600</v>
      </c>
      <c r="K34" s="38" t="s">
        <v>87</v>
      </c>
      <c r="L34" s="39" t="s">
        <v>79</v>
      </c>
      <c r="M34" s="50">
        <v>50</v>
      </c>
      <c r="N34" s="12"/>
      <c r="P34" s="60"/>
    </row>
    <row r="35" spans="1:16" ht="15.75" customHeight="1" x14ac:dyDescent="0.25">
      <c r="A35" s="12"/>
      <c r="B35" s="61"/>
      <c r="C35" s="62"/>
      <c r="D35" s="62"/>
      <c r="E35" s="63"/>
      <c r="F35" s="14" t="s">
        <v>90</v>
      </c>
      <c r="G35" s="37">
        <f>ROUND((1+C16)*(((Daten!B30*$C$34)+Daten!C30))*$C$14/100,0)</f>
        <v>70</v>
      </c>
      <c r="H35" s="37">
        <f t="shared" si="0"/>
        <v>12600</v>
      </c>
      <c r="I35" s="37">
        <f>IF(I30=Daten!$C$171,H35-J35,G35-J35)</f>
        <v>0</v>
      </c>
      <c r="J35" s="37">
        <f>IF(I30=Daten!$C$171,H35,G35)</f>
        <v>12600</v>
      </c>
      <c r="K35" s="38" t="s">
        <v>83</v>
      </c>
      <c r="L35" s="39" t="s">
        <v>79</v>
      </c>
      <c r="M35" s="50">
        <v>50</v>
      </c>
      <c r="N35" s="12"/>
    </row>
    <row r="36" spans="1:16" ht="15.75" customHeight="1" x14ac:dyDescent="0.25">
      <c r="A36" s="12"/>
      <c r="B36" s="64"/>
      <c r="C36" s="62"/>
      <c r="D36" s="62"/>
      <c r="E36" s="63"/>
      <c r="F36" s="14" t="s">
        <v>91</v>
      </c>
      <c r="G36" s="49">
        <f>ROUND((1+C16)*(Daten!C31+Daten!B31*C34)*$C$14/100,0)</f>
        <v>134</v>
      </c>
      <c r="H36" s="49">
        <f t="shared" si="0"/>
        <v>24100</v>
      </c>
      <c r="I36" s="49">
        <f>IF(I30=Daten!$C$171,H36-J36,G36-J36)</f>
        <v>0</v>
      </c>
      <c r="J36" s="49">
        <f>IF(I30=Daten!$C$171,H36,G36)</f>
        <v>24100</v>
      </c>
      <c r="K36" s="185" t="s">
        <v>68</v>
      </c>
      <c r="L36" s="185"/>
      <c r="M36" s="50">
        <v>50</v>
      </c>
      <c r="N36" s="12"/>
    </row>
    <row r="37" spans="1:16" ht="15.75" customHeight="1" x14ac:dyDescent="0.25">
      <c r="A37" s="12"/>
      <c r="B37" s="61"/>
      <c r="C37" s="65"/>
      <c r="D37" s="65"/>
      <c r="E37" s="63"/>
      <c r="F37" s="55" t="s">
        <v>92</v>
      </c>
      <c r="G37" s="49">
        <f>ROUND((1+C16)*(((Daten!B28*$C$34)+Daten!C28))*$C$14/100,0)</f>
        <v>102</v>
      </c>
      <c r="H37" s="49">
        <f t="shared" si="0"/>
        <v>18400</v>
      </c>
      <c r="I37" s="49">
        <f>IF(I30=Daten!$C$171,H37-J37,G37-J37)</f>
        <v>0</v>
      </c>
      <c r="J37" s="49">
        <f>IF(I30=Daten!$C$171,H37,G37)</f>
        <v>18400</v>
      </c>
      <c r="K37" s="185" t="s">
        <v>68</v>
      </c>
      <c r="L37" s="185"/>
      <c r="M37" s="50">
        <v>50</v>
      </c>
      <c r="N37" s="12"/>
    </row>
    <row r="38" spans="1:16" ht="15.75" customHeight="1" x14ac:dyDescent="0.25">
      <c r="A38" s="12"/>
      <c r="B38" s="61"/>
      <c r="C38" s="65"/>
      <c r="D38" s="65"/>
      <c r="E38" s="63"/>
      <c r="F38" s="55" t="s">
        <v>93</v>
      </c>
      <c r="G38" s="37">
        <f>ROUND((1+C16)*(((Daten!B32*$C$34)+Daten!C32))*$C$14/100,0)</f>
        <v>114</v>
      </c>
      <c r="H38" s="37">
        <f t="shared" si="0"/>
        <v>20500</v>
      </c>
      <c r="I38" s="37">
        <f>IF(I30=Daten!$C$171,H38-J38,G38-J38)</f>
        <v>0</v>
      </c>
      <c r="J38" s="37">
        <f>IF(I30=Daten!$C$171,H38,G38)</f>
        <v>20500</v>
      </c>
      <c r="K38" s="38" t="s">
        <v>94</v>
      </c>
      <c r="L38" s="39" t="s">
        <v>79</v>
      </c>
      <c r="M38" s="50">
        <v>50</v>
      </c>
      <c r="N38" s="12"/>
    </row>
    <row r="39" spans="1:16" ht="15.75" customHeight="1" x14ac:dyDescent="0.25">
      <c r="A39" s="12"/>
      <c r="B39" s="64"/>
      <c r="C39" s="58"/>
      <c r="D39" s="58"/>
      <c r="E39" s="43"/>
      <c r="F39" s="14" t="s">
        <v>95</v>
      </c>
      <c r="G39" s="37">
        <f>ROUND((1+C16)*(((Daten!B33*$C$34)+Daten!C33))*$C$14/100,0)</f>
        <v>42</v>
      </c>
      <c r="H39" s="37">
        <f t="shared" si="0"/>
        <v>7600</v>
      </c>
      <c r="I39" s="37">
        <f>IF(I30=Daten!$C$171,H39-J39,G39-J39)</f>
        <v>0</v>
      </c>
      <c r="J39" s="37">
        <f>IF(I30=Daten!$C$171,H39,G39)</f>
        <v>7600</v>
      </c>
      <c r="K39" s="38" t="s">
        <v>94</v>
      </c>
      <c r="L39" s="39" t="s">
        <v>79</v>
      </c>
      <c r="M39" s="50">
        <v>50</v>
      </c>
      <c r="N39" s="12"/>
    </row>
    <row r="40" spans="1:16" ht="15.75" customHeight="1" x14ac:dyDescent="0.25">
      <c r="A40" s="12"/>
      <c r="B40" s="64"/>
      <c r="C40" s="58"/>
      <c r="D40" s="58"/>
      <c r="E40" s="43"/>
      <c r="F40" s="14" t="s">
        <v>96</v>
      </c>
      <c r="G40" s="37">
        <f>ROUND((1+C16)*(((Daten!B34*$C$34)+Daten!C34))*$C$14/100,0)</f>
        <v>342</v>
      </c>
      <c r="H40" s="37">
        <f t="shared" si="0"/>
        <v>61600</v>
      </c>
      <c r="I40" s="37">
        <f>IF(I30=Daten!$C$171,ROUND(IF($C$7&lt;=M40,(C7/M40),1) * (H40-((((Daten!B37*$C$34)+Daten!C37))*($C$14/100)*(1+$C$16))*C31),-2),ROUND(IF($C$7&lt;=M40,(C7/M40),1) * (H40-((((Daten!B37*$C$34)+Daten!C37))*($C$14/100)*(1+$C$16))*C31),-2)/C31)</f>
        <v>37000</v>
      </c>
      <c r="J40" s="37">
        <f>IF(I30=Daten!$C$171,H40-I40,G40-I40)</f>
        <v>24600</v>
      </c>
      <c r="K40" s="38" t="s">
        <v>97</v>
      </c>
      <c r="L40" s="39" t="s">
        <v>79</v>
      </c>
      <c r="M40" s="50">
        <v>30</v>
      </c>
      <c r="N40" s="12"/>
    </row>
    <row r="41" spans="1:16" ht="15.75" customHeight="1" x14ac:dyDescent="0.25">
      <c r="A41" s="12"/>
      <c r="B41" s="64"/>
      <c r="C41" s="58"/>
      <c r="D41" s="58"/>
      <c r="E41" s="43"/>
      <c r="F41" s="14" t="s">
        <v>98</v>
      </c>
      <c r="G41" s="37">
        <f>ROUND((1+C16)*(((Daten!B35*$C$34)+Daten!C35))*$C$14/100,0)</f>
        <v>370</v>
      </c>
      <c r="H41" s="37">
        <f t="shared" si="0"/>
        <v>66600</v>
      </c>
      <c r="I41" s="37">
        <f>IF(I30=Daten!$C$171,ROUND(IF($C$7&lt;=M41,(C7/M41),1) * (H41- ((((Daten!B37*$C$34)+Daten!C37))*($C$14/100)*(1+$C$16))*C31),-2),ROUND(IF($C$7&lt;=M41,(C7/M41),1) * (H41- ((((Daten!B37*$C$34)+Daten!C37))*($C$14/100)*(1+$C$16))*C31),-2)/C31)</f>
        <v>42000</v>
      </c>
      <c r="J41" s="37">
        <f>IF(I30=Daten!$C$171,H41-I41,G41-I41)</f>
        <v>24600</v>
      </c>
      <c r="K41" s="38" t="s">
        <v>97</v>
      </c>
      <c r="L41" s="39" t="s">
        <v>79</v>
      </c>
      <c r="M41" s="50">
        <v>30</v>
      </c>
      <c r="N41" s="12"/>
    </row>
    <row r="42" spans="1:16" ht="15.75" customHeight="1" x14ac:dyDescent="0.25">
      <c r="A42" s="12"/>
      <c r="B42" s="64"/>
      <c r="C42" s="58"/>
      <c r="D42" s="58"/>
      <c r="E42" s="43"/>
      <c r="F42" s="14" t="s">
        <v>99</v>
      </c>
      <c r="G42" s="37">
        <f>ROUND((1+C16)*(((Daten!B36*$C$34)+Daten!C36))*$C$14/100,0)</f>
        <v>360</v>
      </c>
      <c r="H42" s="37">
        <f t="shared" si="0"/>
        <v>64800</v>
      </c>
      <c r="I42" s="37">
        <f>IF(I30=Daten!$C$171,ROUND(IF($C$7&lt;=M42,(C7/M42),1) * (H42- ((((Daten!B37*$C$34)+Daten!C37))*($C$14/100)*(1+$C$16))*C31),-2),ROUND(IF($C$7&lt;=M42,(C7/M42),1) * (H42- ((((Daten!B37*$C$34)+Daten!C37))*($C$14/100)*(1+$C$16))*C31),-2)/C31)</f>
        <v>40200</v>
      </c>
      <c r="J42" s="37">
        <f>IF(I30=Daten!$C$171,H42-I42,G42-I42)</f>
        <v>24600</v>
      </c>
      <c r="K42" s="38" t="s">
        <v>97</v>
      </c>
      <c r="L42" s="39" t="s">
        <v>79</v>
      </c>
      <c r="M42" s="50">
        <v>30</v>
      </c>
      <c r="N42" s="12"/>
    </row>
    <row r="43" spans="1:16" ht="15.75" customHeight="1" x14ac:dyDescent="0.25">
      <c r="A43" s="12"/>
      <c r="B43" s="44"/>
      <c r="C43" s="45"/>
      <c r="D43" s="45"/>
      <c r="E43" s="46"/>
      <c r="F43" s="14" t="s">
        <v>100</v>
      </c>
      <c r="G43" s="37">
        <f>ROUND((1+C16)*(((Daten!B38*$C$34)+Daten!C38))*$C$14/100,0)</f>
        <v>393</v>
      </c>
      <c r="H43" s="37">
        <f t="shared" si="0"/>
        <v>70700</v>
      </c>
      <c r="I43" s="37">
        <f>IF(I30=Daten!$C$171,ROUND(IF($C$7&lt;=M43,(C7/M43),1) * (H43- ((((Daten!B39*$C$34)+Daten!C39))*($C$14/100)*(1+$C$16))*C31),-2),ROUND(IF($C$7&lt;=M43,(C7/M43),1) * (H43- ((((Daten!B39*$C$34)+Daten!C39))*($C$14/100)*(1+$C$16))*C31),-2)/C31)</f>
        <v>52900</v>
      </c>
      <c r="J43" s="37">
        <f>IF(I30=Daten!$C$171,H43-I43,G43-I43)</f>
        <v>17800</v>
      </c>
      <c r="K43" s="38" t="s">
        <v>101</v>
      </c>
      <c r="L43" s="39" t="s">
        <v>79</v>
      </c>
      <c r="M43" s="50">
        <v>50</v>
      </c>
      <c r="N43" s="12"/>
    </row>
    <row r="44" spans="1:16" ht="15.75" customHeight="1" x14ac:dyDescent="0.25">
      <c r="A44" s="12"/>
      <c r="B44" s="40" t="s">
        <v>102</v>
      </c>
      <c r="C44" s="66">
        <v>11</v>
      </c>
      <c r="D44" s="58" t="s">
        <v>55</v>
      </c>
      <c r="E44" s="43"/>
      <c r="F44" s="14" t="s">
        <v>103</v>
      </c>
      <c r="G44" s="49">
        <f>Daten!C40*$C$14/100</f>
        <v>827.36991071428565</v>
      </c>
      <c r="H44" s="49">
        <f>ROUND((1+C16)*$C$44*G44,-2)</f>
        <v>10500</v>
      </c>
      <c r="I44" s="49" t="s">
        <v>67</v>
      </c>
      <c r="J44" s="49" t="s">
        <v>67</v>
      </c>
      <c r="K44" s="185" t="s">
        <v>68</v>
      </c>
      <c r="L44" s="185"/>
      <c r="M44" s="50">
        <v>30</v>
      </c>
      <c r="N44" s="12"/>
    </row>
    <row r="45" spans="1:16" ht="15.75" customHeight="1" x14ac:dyDescent="0.25">
      <c r="A45" s="12"/>
      <c r="B45" s="44"/>
      <c r="C45" s="45"/>
      <c r="D45" s="45"/>
      <c r="E45" s="46"/>
      <c r="F45" s="14" t="s">
        <v>104</v>
      </c>
      <c r="G45" s="49">
        <f>Daten!C41*$C$14/100</f>
        <v>612.21874999999989</v>
      </c>
      <c r="H45" s="49">
        <f>ROUND((1+C16)*$C$44*G45,-2)</f>
        <v>7700</v>
      </c>
      <c r="I45" s="49" t="s">
        <v>67</v>
      </c>
      <c r="J45" s="49" t="s">
        <v>67</v>
      </c>
      <c r="K45" s="185" t="s">
        <v>68</v>
      </c>
      <c r="L45" s="185"/>
      <c r="M45" s="50">
        <v>30</v>
      </c>
      <c r="N45" s="12"/>
    </row>
    <row r="46" spans="1:16" ht="15.75" customHeight="1" x14ac:dyDescent="0.25">
      <c r="A46" s="12"/>
      <c r="B46" s="40" t="s">
        <v>105</v>
      </c>
      <c r="C46" s="66">
        <v>3</v>
      </c>
      <c r="D46" s="58" t="s">
        <v>55</v>
      </c>
      <c r="E46" s="43"/>
      <c r="F46" s="67" t="s">
        <v>106</v>
      </c>
      <c r="G46" s="49">
        <f>ROUND((1+C16)*Daten!C42*$C$14/100,-1)</f>
        <v>280</v>
      </c>
      <c r="H46" s="49">
        <f>ROUND($C$46*G46,-1)</f>
        <v>840</v>
      </c>
      <c r="I46" s="49">
        <f>IF(I30=Daten!$C$171,H46 * IF($C$7&lt;=M46,(C7/M46),1),H46/C46 * IF($C$7&lt;=M46,(C7/M46),1))</f>
        <v>840</v>
      </c>
      <c r="J46" s="49">
        <f>IF(I30=Daten!$C$171,H46-I46,G46-I46)</f>
        <v>0</v>
      </c>
      <c r="K46" s="185" t="s">
        <v>68</v>
      </c>
      <c r="L46" s="185"/>
      <c r="M46" s="50">
        <v>35</v>
      </c>
      <c r="N46" s="12"/>
    </row>
    <row r="47" spans="1:16" ht="15.75" customHeight="1" x14ac:dyDescent="0.25">
      <c r="A47" s="12"/>
      <c r="B47" s="64"/>
      <c r="C47" s="58"/>
      <c r="D47" s="58"/>
      <c r="E47" s="43"/>
      <c r="F47" s="67" t="s">
        <v>107</v>
      </c>
      <c r="G47" s="49">
        <f>ROUND((1+C16)*Daten!C43*$C$14/100,-1)</f>
        <v>400</v>
      </c>
      <c r="H47" s="49">
        <f>ROUND($C$46*G47,-1)</f>
        <v>1200</v>
      </c>
      <c r="I47" s="49">
        <f>IF(I30=Daten!$C$171,H47 * IF($C$7&lt;=M47,(C7/M47),1),H47/C46 * IF($C$7&lt;=M47,(C7/M47),1))</f>
        <v>1200</v>
      </c>
      <c r="J47" s="49">
        <f>IF(I30=Daten!$C$171,H47-I47,G47-I47)</f>
        <v>0</v>
      </c>
      <c r="K47" s="185" t="s">
        <v>68</v>
      </c>
      <c r="L47" s="185"/>
      <c r="M47" s="50">
        <v>35</v>
      </c>
      <c r="N47" s="12"/>
    </row>
    <row r="48" spans="1:16" ht="15.75" customHeight="1" x14ac:dyDescent="0.25">
      <c r="A48" s="12"/>
      <c r="B48" s="64"/>
      <c r="C48" s="58"/>
      <c r="D48" s="58"/>
      <c r="E48" s="43"/>
      <c r="F48" s="67" t="s">
        <v>108</v>
      </c>
      <c r="G48" s="49">
        <f>ROUND((1+C16)*Daten!C44*$C$14/100,-1)</f>
        <v>370</v>
      </c>
      <c r="H48" s="49">
        <f>ROUND($C$46*G48,-1)</f>
        <v>1110</v>
      </c>
      <c r="I48" s="49">
        <f>IF(I30=Daten!$C$171,H48 * IF($C$7&lt;=M48,(C7/M48),1),H48/C46 * IF($C$7&lt;=M48,(C7/M48),1))</f>
        <v>1110</v>
      </c>
      <c r="J48" s="49">
        <f>IF(I30=Daten!$C$171,H48-I48,G48-I48)</f>
        <v>0</v>
      </c>
      <c r="K48" s="185" t="s">
        <v>68</v>
      </c>
      <c r="L48" s="185"/>
      <c r="M48" s="50">
        <v>35</v>
      </c>
      <c r="N48" s="12"/>
    </row>
    <row r="49" spans="1:17" ht="15.75" customHeight="1" x14ac:dyDescent="0.25">
      <c r="A49" s="12"/>
      <c r="B49" s="44"/>
      <c r="C49" s="45"/>
      <c r="D49" s="45"/>
      <c r="E49" s="46"/>
      <c r="F49" s="67" t="s">
        <v>109</v>
      </c>
      <c r="G49" s="68">
        <f>ROUND((1+C16)*Daten!C45*$C$14/100,-1)</f>
        <v>550</v>
      </c>
      <c r="H49" s="49">
        <f>ROUND($C$46*G49,-1)</f>
        <v>1650</v>
      </c>
      <c r="I49" s="49">
        <f>IF(I30=Daten!$C$171,H49 * IF($C$7&lt;=M49,(C7/M49),1),H49/C46 * IF($C$7&lt;=M49,(C7/M49),1))</f>
        <v>1650</v>
      </c>
      <c r="J49" s="49">
        <f>IF(I30=Daten!$C$171,H49-I49,G49-I49)</f>
        <v>0</v>
      </c>
      <c r="K49" s="185" t="s">
        <v>68</v>
      </c>
      <c r="L49" s="185"/>
      <c r="M49" s="50">
        <v>35</v>
      </c>
      <c r="N49" s="12"/>
    </row>
    <row r="50" spans="1:17" ht="15.75" customHeight="1" x14ac:dyDescent="0.25">
      <c r="A50" s="12"/>
      <c r="B50" s="12"/>
      <c r="C50" s="12"/>
      <c r="D50" s="12"/>
      <c r="E50" s="12"/>
      <c r="F50" s="186"/>
      <c r="G50" s="186"/>
      <c r="H50" s="186"/>
      <c r="I50" s="186"/>
      <c r="J50" s="186"/>
      <c r="K50" s="186"/>
      <c r="L50" s="186"/>
      <c r="M50" s="186"/>
      <c r="N50" s="12"/>
    </row>
    <row r="51" spans="1:17" ht="45" customHeight="1" x14ac:dyDescent="0.25">
      <c r="A51" s="12"/>
      <c r="B51" s="187" t="s">
        <v>43</v>
      </c>
      <c r="C51" s="187"/>
      <c r="D51" s="187"/>
      <c r="E51" s="187"/>
      <c r="F51" s="27" t="s">
        <v>44</v>
      </c>
      <c r="G51" s="188" t="s">
        <v>45</v>
      </c>
      <c r="H51" s="188"/>
      <c r="I51" s="28" t="s">
        <v>46</v>
      </c>
      <c r="J51" s="28" t="s">
        <v>47</v>
      </c>
      <c r="K51" s="188" t="s">
        <v>48</v>
      </c>
      <c r="L51" s="188"/>
      <c r="M51" s="28" t="s">
        <v>49</v>
      </c>
      <c r="N51" s="12"/>
    </row>
    <row r="52" spans="1:17" ht="15.75" customHeight="1" x14ac:dyDescent="0.25">
      <c r="A52" s="12"/>
      <c r="B52" s="184" t="str">
        <f>F52</f>
        <v>Wärmeerzeuger</v>
      </c>
      <c r="C52" s="184"/>
      <c r="D52" s="184"/>
      <c r="E52" s="184"/>
      <c r="F52" s="29" t="s">
        <v>110</v>
      </c>
      <c r="G52" s="30" t="s">
        <v>326</v>
      </c>
      <c r="H52" s="30" t="s">
        <v>325</v>
      </c>
      <c r="I52" s="30" t="s">
        <v>325</v>
      </c>
      <c r="J52" s="30" t="s">
        <v>325</v>
      </c>
      <c r="K52" s="31" t="s">
        <v>51</v>
      </c>
      <c r="L52" s="31" t="s">
        <v>52</v>
      </c>
      <c r="M52" s="31" t="s">
        <v>53</v>
      </c>
      <c r="N52" s="69"/>
      <c r="Q52" s="178"/>
    </row>
    <row r="53" spans="1:17" ht="15.75" customHeight="1" x14ac:dyDescent="0.25">
      <c r="A53" s="70" t="str">
        <f>Daten!A170</f>
        <v>Gaskessel</v>
      </c>
      <c r="B53" s="172" t="s">
        <v>111</v>
      </c>
      <c r="C53" s="155"/>
      <c r="D53" s="155"/>
      <c r="E53" s="160"/>
      <c r="F53" s="14" t="str">
        <f>Daten!A170&amp;" als Einzelmaßnahme"</f>
        <v>Gaskessel als Einzelmaßnahme</v>
      </c>
      <c r="G53" s="37">
        <f t="shared" ref="G53:G56" si="1">ROUND((H53/$C$3),0)</f>
        <v>136</v>
      </c>
      <c r="H53" s="37">
        <f>ROUND((1+C16)*(((Daten!D48*$C$3^Daten!E48)*$C$3)*$C$14/100),-2)</f>
        <v>20400</v>
      </c>
      <c r="I53" s="37">
        <f>IF(VLOOKUP($C$5,$A$53:$H$83,8,FALSE())&gt;=0,VLOOKUP($C$5,$A$53:$H$83,8,FALSE()),"Vollkosten der Bestandsanlage; Einzelfall prüfen") * IF($C$6&lt;=M53,(C6/M53),1)*IF(AND(I57=Daten!C170,C5=A58),C58,1)*IF(AND(I57=Daten!C170,C5=A59),C59,1)*IF(AND(I57=Daten!C170,C5=A60),C60,1)</f>
        <v>20400</v>
      </c>
      <c r="J53" s="37">
        <f t="shared" ref="J53:J56" si="2">IFERROR(H53-I53,"Einzelfall prüfen!")</f>
        <v>0</v>
      </c>
      <c r="K53" s="38" t="s">
        <v>112</v>
      </c>
      <c r="L53" s="39" t="s">
        <v>113</v>
      </c>
      <c r="M53" s="50">
        <v>20</v>
      </c>
      <c r="N53" s="12"/>
    </row>
    <row r="54" spans="1:17" ht="15.75" customHeight="1" x14ac:dyDescent="0.25">
      <c r="A54" s="70" t="str">
        <f>Daten!A171</f>
        <v>Ölkessel</v>
      </c>
      <c r="B54" s="190" t="s">
        <v>114</v>
      </c>
      <c r="C54" s="191"/>
      <c r="D54" s="191"/>
      <c r="E54" s="192"/>
      <c r="F54" s="14" t="str">
        <f>Daten!A171&amp;" als Einzelmaßnahme"</f>
        <v>Ölkessel als Einzelmaßnahme</v>
      </c>
      <c r="G54" s="37">
        <f t="shared" si="1"/>
        <v>165</v>
      </c>
      <c r="H54" s="37">
        <f>ROUND((1+C16)*(((Daten!D49*$C$3^Daten!E49)*$C$3)*$C$14/100),-2)</f>
        <v>24700</v>
      </c>
      <c r="I54" s="37">
        <f>IF(VLOOKUP($C$5,$A$53:$H$83,8,FALSE())&gt;=0,VLOOKUP($C$5,$A$53:$H$83,8,FALSE()),"Vollkosten der Bestandsanlage; Einzelfall prüfen") * IF($C$6&lt;=M54,(C6/M54),1)*IF(AND(I57=Daten!C170,C5=A58),C58,1)*IF(AND(I57=Daten!C170,C5=A59),C59,1)*IF(AND(I57=Daten!C170,C5=A60),C60,1)</f>
        <v>20400</v>
      </c>
      <c r="J54" s="37">
        <f t="shared" si="2"/>
        <v>4300</v>
      </c>
      <c r="K54" s="38" t="s">
        <v>115</v>
      </c>
      <c r="L54" s="39" t="s">
        <v>113</v>
      </c>
      <c r="M54" s="50">
        <v>20</v>
      </c>
      <c r="N54" s="12"/>
    </row>
    <row r="55" spans="1:17" ht="15.75" customHeight="1" x14ac:dyDescent="0.25">
      <c r="A55" s="70" t="str">
        <f>Daten!A172</f>
        <v>Pelletkessel</v>
      </c>
      <c r="B55" s="190"/>
      <c r="C55" s="191"/>
      <c r="D55" s="191"/>
      <c r="E55" s="192"/>
      <c r="F55" s="14" t="str">
        <f>Daten!A172&amp;" als Einzelmaßnahme"</f>
        <v>Pelletkessel als Einzelmaßnahme</v>
      </c>
      <c r="G55" s="37">
        <f t="shared" si="1"/>
        <v>269</v>
      </c>
      <c r="H55" s="37">
        <f>ROUND((1+C16)*(((Daten!D51*$C$3^Daten!E51)*$C$3)*$C$14/100),-2)</f>
        <v>40300</v>
      </c>
      <c r="I55" s="37">
        <f>IF(VLOOKUP($C$5,$A$53:$H$83,8,FALSE())&gt;=0,VLOOKUP($C$5,$A$53:$H$83,8,FALSE()),"Vollkosten der Bestandsanlage; Einzelfall prüfen") * IF($C$6&lt;=M55,(C6/M55),1)*IF(AND(I57=Daten!C170,C5=A58),C58,1)*IF(AND(I57=Daten!C170,C5=A59),C59,1)*IF(AND(I57=Daten!C170,C5=A60),C60,1)</f>
        <v>20400</v>
      </c>
      <c r="J55" s="37">
        <f t="shared" si="2"/>
        <v>19900</v>
      </c>
      <c r="K55" s="38" t="s">
        <v>116</v>
      </c>
      <c r="L55" s="39" t="s">
        <v>113</v>
      </c>
      <c r="M55" s="50">
        <v>20</v>
      </c>
      <c r="N55" s="12"/>
    </row>
    <row r="56" spans="1:17" ht="15.75" customHeight="1" x14ac:dyDescent="0.25">
      <c r="A56" s="70" t="str">
        <f>Daten!A173</f>
        <v>Fernwärme</v>
      </c>
      <c r="B56" s="190"/>
      <c r="C56" s="191"/>
      <c r="D56" s="191"/>
      <c r="E56" s="192"/>
      <c r="F56" s="14" t="str">
        <f>Daten!A173&amp;" als Einzelmaßnahme"</f>
        <v>Fernwärme als Einzelmaßnahme</v>
      </c>
      <c r="G56" s="37">
        <f t="shared" si="1"/>
        <v>116</v>
      </c>
      <c r="H56" s="37">
        <f>ROUND((1+C16)*(((Daten!D52*$C$3^Daten!E52)*$C$3)*$C$14/100),-2)</f>
        <v>17400</v>
      </c>
      <c r="I56" s="37">
        <f>IF(VLOOKUP($C$5,$A$53:$H$83,8,FALSE())&gt;=0,VLOOKUP($C$5,$A$53:$H$83,8,FALSE()),"Vollkosten der Bestandsanlage; Einzelfall prüfen") * IF($C$6&lt;=M56,(C6/M56),1)*IF(AND(I57=Daten!C170,C5=A58),C58,1)*IF(AND(I57=Daten!C170,C5=A59),C59,1)*IF(AND(I57=Daten!C170,C5=A60),C60,1)</f>
        <v>20400</v>
      </c>
      <c r="J56" s="37">
        <f t="shared" si="2"/>
        <v>-3000</v>
      </c>
      <c r="K56" s="38" t="s">
        <v>117</v>
      </c>
      <c r="L56" s="39" t="s">
        <v>113</v>
      </c>
      <c r="M56" s="179">
        <v>20</v>
      </c>
      <c r="N56" s="12"/>
    </row>
    <row r="57" spans="1:17" ht="15.75" customHeight="1" x14ac:dyDescent="0.25">
      <c r="A57" s="70"/>
      <c r="B57" s="173" t="s">
        <v>336</v>
      </c>
      <c r="C57" s="164">
        <v>12</v>
      </c>
      <c r="D57" s="165" t="s">
        <v>316</v>
      </c>
      <c r="E57" s="174"/>
      <c r="F57" s="14"/>
      <c r="G57" s="30" t="s">
        <v>335</v>
      </c>
      <c r="H57" s="30" t="str">
        <f>I57</f>
        <v>[€]</v>
      </c>
      <c r="I57" s="171" t="s">
        <v>325</v>
      </c>
      <c r="J57" s="30" t="str">
        <f>I57</f>
        <v>[€]</v>
      </c>
      <c r="K57" s="145"/>
      <c r="L57" s="39"/>
      <c r="M57" s="50"/>
      <c r="N57" s="12"/>
    </row>
    <row r="58" spans="1:17" ht="15.75" customHeight="1" x14ac:dyDescent="0.25">
      <c r="A58" s="70" t="str">
        <f>Daten!A174</f>
        <v>Elektro-Direktheizgeräte</v>
      </c>
      <c r="B58" s="162" t="s">
        <v>118</v>
      </c>
      <c r="C58" s="169">
        <v>10</v>
      </c>
      <c r="D58" s="34" t="s">
        <v>337</v>
      </c>
      <c r="E58" s="167" t="str">
        <f>"= "&amp;C57/C58</f>
        <v>= 1,2</v>
      </c>
      <c r="F58" s="146" t="str">
        <f>Daten!A174&amp;" nach Heizlast"</f>
        <v>Elektro-Direktheizgeräte nach Heizlast</v>
      </c>
      <c r="G58" s="37">
        <f>ROUND(IF($H$57=Daten!$C$170,((H58*C58)/$C$57),(H58/$C$57)),0)</f>
        <v>308</v>
      </c>
      <c r="H58" s="37">
        <f>ROUND(((1+C$16)*((Daten!B54*$C$57^Daten!C54)*110.6/99.1)*$C$14/100)*IF($H$57=Daten!$C$170,1,C58),IF(I57=Daten!C170,-1,-2))</f>
        <v>3700</v>
      </c>
      <c r="I58" s="37">
        <f>IF(I57=Daten!$C$171,IF(VLOOKUP($C$5,$A$53:$H$83,8,FALSE())&gt;=0,VLOOKUP($C$5,$A$53:$H$83,8,FALSE()),"Vollkosten der Bestandsanlage; Einzelfall prüfen") * IF($C$6&lt;=M58,(C6/M58),1),IF(VLOOKUP($C$5,$A$53:$H$83,8,FALSE())&gt;=0,VLOOKUP($C$5,$A$53:$H$83,8,FALSE()),"Vollkosten der Bestandsanlage; Einzelfall prüfen")/C58 * IF($C$6&lt;=M58,(C6/M58),1))*IF(AND(I57=Daten!C170,C5=A58),C58,1)*IF(AND(I57=Daten!C170,C5=A59),C59,1)*IF(AND(I57=Daten!C170,C5=A60),C60,1)</f>
        <v>20400</v>
      </c>
      <c r="J58" s="37">
        <f>IFERROR(IF(I57=Daten!$C$171,H58-I58,H58-I58),"Einzelfall prüfen!")</f>
        <v>-16700</v>
      </c>
      <c r="K58" s="72" t="s">
        <v>121</v>
      </c>
      <c r="L58" s="39" t="s">
        <v>122</v>
      </c>
      <c r="M58" s="179">
        <v>20</v>
      </c>
      <c r="N58" s="12"/>
    </row>
    <row r="59" spans="1:17" ht="15.75" customHeight="1" x14ac:dyDescent="0.25">
      <c r="A59" s="70" t="str">
        <f>Daten!A175</f>
        <v>Elektro-Speicherheizung</v>
      </c>
      <c r="B59" s="64" t="s">
        <v>118</v>
      </c>
      <c r="C59" s="164">
        <v>10</v>
      </c>
      <c r="D59" s="42" t="s">
        <v>337</v>
      </c>
      <c r="E59" s="73" t="str">
        <f>"= "&amp;C57/C59</f>
        <v>= 1,2</v>
      </c>
      <c r="F59" s="146" t="str">
        <f>Daten!A175&amp;" nach Heizlast"</f>
        <v>Elektro-Speicherheizung nach Heizlast</v>
      </c>
      <c r="G59" s="37">
        <f>ROUND(IF($H$57=Daten!$C$170,(H59*C59/$C$57),(H59/$C$57)),0)</f>
        <v>492</v>
      </c>
      <c r="H59" s="37">
        <f>ROUND(((1+C$16)*((Daten!B55*$C$57^Daten!C55)*110.6/99.1)*$C$14/100)*IF($H$57=Daten!$C$170,1,C59),IF(I57=Daten!C170,-1,-2))</f>
        <v>5900</v>
      </c>
      <c r="I59" s="37">
        <f>IF(I57=Daten!$C$171,IF(VLOOKUP($C$5,$A$53:$H$83,8,FALSE())&gt;=0,VLOOKUP($C$5,$A$53:$H$83,8,FALSE()),"Vollkosten der Bestandsanlage; Einzelfall prüfen")* IF($C$6&lt;=M59,(C6/M59),1),IF(VLOOKUP($C$5,$A$53:$H$83,8,FALSE())&gt;=0,VLOOKUP($C$5,$A$53:$H$83,8,FALSE()),"Vollkosten der Bestandsanlage; Einzelfall prüfen")/C59* IF($C$6&lt;=M59,(C6/M59),1))*IF(AND(I57=Daten!C170,C5=A58),C58,1)*IF(AND(I57=Daten!C170,C5=A59),C59,1)*IF(AND(I57=Daten!C170,C5=A60),C60,1)</f>
        <v>20400</v>
      </c>
      <c r="J59" s="37">
        <f>IFERROR(IF(I57=Daten!$C$171,H59-I59,H59-I59),"Einzelfall prüfen!")</f>
        <v>-14500</v>
      </c>
      <c r="K59" s="72" t="s">
        <v>121</v>
      </c>
      <c r="L59" s="39" t="s">
        <v>122</v>
      </c>
      <c r="M59" s="179">
        <v>20</v>
      </c>
      <c r="N59" s="12"/>
    </row>
    <row r="60" spans="1:17" ht="15.75" customHeight="1" x14ac:dyDescent="0.25">
      <c r="A60" s="70" t="str">
        <f>Daten!A176</f>
        <v>komplett beheizt mit Klimageräten (Luft-Luft-Wärmepumpe)</v>
      </c>
      <c r="B60" s="44" t="s">
        <v>317</v>
      </c>
      <c r="C60" s="170">
        <v>5</v>
      </c>
      <c r="D60" s="163" t="s">
        <v>337</v>
      </c>
      <c r="E60" s="166" t="str">
        <f>"= "&amp;C57/C60</f>
        <v>= 2,4</v>
      </c>
      <c r="F60" s="102" t="s">
        <v>338</v>
      </c>
      <c r="G60" s="37">
        <f>ROUND(IF($H$57=Daten!$C$170,(H60*C60/$C$57),(H60/$C$57)),-1)</f>
        <v>2110</v>
      </c>
      <c r="H60" s="37">
        <f>ROUND((1+C16)*(IF($C$57/C60&lt;5,Daten!B63*($C$57/C60)+Daten!C63,IF(AND(5&lt;=$C$57/C60,$C$57/C60&lt;10),Daten!B64*($C$57/C60)+Daten!C64,IF(AND(10&lt;=$C$57/C60,$C$57/C60&lt;15),Daten!B65*($C$57/C60)+Daten!C65,IF(AND(15&lt;=$C$57/C60,$C$57/C60&lt;20),Daten!B66*($C$57/C60)+Daten!C66,IF(20&lt;=$C$57/C60,Daten!B67*($C$57/C60)+Daten!C67,"Fehler"))))))*($C$10/((130.8+128.5)/2))*($C$14/100)*IF($H$57=Daten!$C$170,1,C60),IF(I57=Daten!C170,-1,-2))</f>
        <v>25300</v>
      </c>
      <c r="I60" s="37">
        <f>IF(I57=Daten!$C$171,IF(VLOOKUP($C$5,$A$53:$H$83,8,FALSE())&gt;=0,VLOOKUP($C$5,$A$53:$H$83,8,FALSE()),"Vollkosten der Bestandsanlage; Einzelfall prüfen")* IF($C$6&lt;=M60,(C6/M60),1),IF(VLOOKUP($C$5,$A$53:$H$83,8,FALSE())&gt;=0,VLOOKUP($C$5,$A$53:$H$83,8,FALSE()),"Vollkosten der Bestandsanlage; Einzelfall prüfen")/C60 * IF($C$6&lt;=M60,(C6/M60),1))*IF(AND(I57=Daten!C170,C5=A58),C58,1)*IF(AND(I57=Daten!C170,C5=A59),C59,1)*IF(AND(I57=Daten!C170,C5=A60),C60,1)</f>
        <v>20400</v>
      </c>
      <c r="J60" s="37">
        <f>IFERROR(IF(I57=Daten!$C$171,H60-I60,H60-I60),"Einzelfall prüfen!")</f>
        <v>4900</v>
      </c>
      <c r="K60" s="144" t="s">
        <v>318</v>
      </c>
      <c r="L60" s="39" t="s">
        <v>316</v>
      </c>
      <c r="M60" s="50">
        <v>20</v>
      </c>
      <c r="N60" s="12"/>
    </row>
    <row r="61" spans="1:17" ht="15.75" customHeight="1" x14ac:dyDescent="0.25">
      <c r="A61" s="70"/>
      <c r="B61" s="64"/>
      <c r="C61" s="42"/>
      <c r="D61" s="42"/>
      <c r="E61" s="43"/>
      <c r="F61" s="177" t="s">
        <v>313</v>
      </c>
      <c r="G61" s="37">
        <f>ROUND((H61/$C$57),-1)</f>
        <v>3640</v>
      </c>
      <c r="H61" s="37">
        <f>ROUND((1+$C$16)*(($C$57*Daten!B69*($C$57^Daten!C69))*($C$10/((130.8+128.5)/2))*$C$14/100),-2)</f>
        <v>43700</v>
      </c>
      <c r="I61" s="37">
        <f>IF(VLOOKUP($C$5,$A$53:$H$83,8,FALSE())&gt;=0,VLOOKUP($C$5,$A$53:$H$83,8,FALSE()),"Vollkosten der Bestandsanlage; Einzelfall prüfen")* IF($C$6&lt;=M61,($C$6/M61),1)*IF(AND(I57=Daten!C170,C5=A58),C58,1)*IF(AND(I57=Daten!C170,C5=A59),C59,1)*IF(AND(I57=Daten!C170,C5=A60),C60,1)</f>
        <v>20400</v>
      </c>
      <c r="J61" s="37">
        <f>IFERROR(H61-I61,"Einzelfall prüfen!")</f>
        <v>23300</v>
      </c>
      <c r="K61" s="144" t="s">
        <v>312</v>
      </c>
      <c r="L61" s="39" t="s">
        <v>316</v>
      </c>
      <c r="M61" s="50">
        <v>18</v>
      </c>
      <c r="N61" s="12"/>
    </row>
    <row r="62" spans="1:17" ht="15.75" customHeight="1" x14ac:dyDescent="0.25">
      <c r="A62" s="70"/>
      <c r="B62" s="176" t="s">
        <v>339</v>
      </c>
      <c r="C62" s="164">
        <v>30</v>
      </c>
      <c r="D62" s="42" t="s">
        <v>342</v>
      </c>
      <c r="E62" s="43"/>
      <c r="F62" s="14" t="s">
        <v>345</v>
      </c>
      <c r="G62" s="37">
        <f>ROUND((H62/$C$57),-1)</f>
        <v>6090</v>
      </c>
      <c r="H62" s="37">
        <f>ROUND((1+$C$16)*((($C$57*Daten!B70*($C$57^Daten!C70))*($C$10/((130.8+128.5)/2)) +  (Daten!B58*(($C$57*0.8)/(C62/1000))+Daten!E58)*($C$10/((121.7+108.8)/2)))*$C$14/100),-2)</f>
        <v>73100</v>
      </c>
      <c r="I62" s="37">
        <f>IF(VLOOKUP($C$5,$A$53:$H$83,8,FALSE())&gt;=0,VLOOKUP($C$5,$A$53:$H$83,8,FALSE()),"Vollkosten der Bestandsanlage; Einzelfall prüfen")* IF($C$6&lt;=M62,($C$6/M62),1)*IF(AND(I57=Daten!C170,C5=A58),C58,1)*IF(AND(I57=Daten!C170,C5=A59),C59,1)*IF(AND(I57=Daten!C170,C5=A60),C60,1)</f>
        <v>20400</v>
      </c>
      <c r="J62" s="37">
        <f>IFERROR(H62-I62,"Einzelfall prüfen!")</f>
        <v>52700</v>
      </c>
      <c r="K62" s="144" t="s">
        <v>312</v>
      </c>
      <c r="L62" s="39" t="s">
        <v>316</v>
      </c>
      <c r="M62" s="50">
        <v>20</v>
      </c>
      <c r="N62" s="12"/>
    </row>
    <row r="63" spans="1:17" ht="15.75" customHeight="1" x14ac:dyDescent="0.25">
      <c r="A63" s="70"/>
      <c r="B63" s="64" t="s">
        <v>340</v>
      </c>
      <c r="C63" s="164">
        <v>40</v>
      </c>
      <c r="D63" s="42" t="s">
        <v>343</v>
      </c>
      <c r="E63" s="43"/>
      <c r="F63" s="14" t="s">
        <v>346</v>
      </c>
      <c r="G63" s="37">
        <f>ROUND((H63/$C$57),-1)</f>
        <v>6230</v>
      </c>
      <c r="H63" s="37">
        <f>ROUND((1+$C$16)*((($C$57*Daten!B70*($C$57^Daten!C70))*($C$10/((130.8+128.5)/2)) + (Daten!B59*(($C$57*0.8)/(C63/1000))+Daten!E59)*(C10/((121.7+108.8)/2)))*$C$14/100),-2)</f>
        <v>74800</v>
      </c>
      <c r="I63" s="37">
        <f>IF(VLOOKUP($C$5,$A$53:$H$83,8,FALSE())&gt;=0,VLOOKUP($C$5,$A$53:$H$83,8,FALSE()),"Vollkosten der Bestandsanlage; Einzelfall prüfen")* IF($C$6&lt;=M63,($C$6/M63),1)*IF(AND(I57=Daten!C170,C5=A58),C58,1)*IF(AND(I57=Daten!C170,C5=A59),C59,1)*IF(AND(I57=Daten!C170,C5=A60),C60,1)</f>
        <v>20400</v>
      </c>
      <c r="J63" s="37">
        <f>IFERROR(H63-I63,"Einzelfall prüfen!")</f>
        <v>54400</v>
      </c>
      <c r="K63" s="144" t="s">
        <v>312</v>
      </c>
      <c r="L63" s="39" t="s">
        <v>316</v>
      </c>
      <c r="M63" s="50">
        <v>20</v>
      </c>
      <c r="N63" s="12"/>
    </row>
    <row r="64" spans="1:17" ht="15.75" customHeight="1" x14ac:dyDescent="0.25">
      <c r="A64" s="70"/>
      <c r="B64" s="44" t="s">
        <v>341</v>
      </c>
      <c r="C64" s="170">
        <v>40</v>
      </c>
      <c r="D64" s="45" t="s">
        <v>344</v>
      </c>
      <c r="E64" s="46"/>
      <c r="F64" s="14" t="s">
        <v>347</v>
      </c>
      <c r="G64" s="37">
        <f>ROUND((H64/$C$57),-1)</f>
        <v>5760</v>
      </c>
      <c r="H64" s="37">
        <f>ROUND((1+$C$16)*((($C$57*Daten!B71*($C$57^Daten!C71))*($C$10/((130.8+128.5)/2)) + (Daten!B60*C64)*(C10/((121.7+108.8)/2)))*$C$14/100),-2)</f>
        <v>69100</v>
      </c>
      <c r="I64" s="37">
        <f>IF(VLOOKUP($C$5,$A$53:$H$83,8,FALSE())&gt;=0,VLOOKUP($C$5,$A$53:$H$83,8,FALSE()),"Vollkosten der Bestandsanlage; Einzelfall prüfen")* IF($C$6&lt;=M64,($C$6/M64),1)*IF(AND(I57=Daten!C170,C5=A58),C58,1)*IF(AND(I57=Daten!C170,C5=A59),C59,1)*IF(AND(I57=Daten!C170,C5=A60),C60,1)</f>
        <v>20400</v>
      </c>
      <c r="J64" s="37">
        <f>IFERROR(H64-I64,"Einzelfall prüfen!")</f>
        <v>48700</v>
      </c>
      <c r="K64" s="144" t="s">
        <v>312</v>
      </c>
      <c r="L64" s="39" t="s">
        <v>316</v>
      </c>
      <c r="M64" s="50">
        <v>20</v>
      </c>
      <c r="N64" s="12"/>
    </row>
    <row r="65" spans="1:14" ht="15.75" customHeight="1" x14ac:dyDescent="0.25">
      <c r="A65" s="70"/>
      <c r="B65" s="12"/>
      <c r="C65" s="12"/>
      <c r="D65" s="12"/>
      <c r="E65" s="12"/>
      <c r="F65" s="186"/>
      <c r="G65" s="186"/>
      <c r="H65" s="186"/>
      <c r="I65" s="186"/>
      <c r="J65" s="186"/>
      <c r="K65" s="186"/>
      <c r="L65" s="186"/>
      <c r="M65" s="186"/>
      <c r="N65" s="12"/>
    </row>
    <row r="66" spans="1:14" ht="35.1" customHeight="1" x14ac:dyDescent="0.25">
      <c r="A66" s="70"/>
      <c r="B66" s="187" t="s">
        <v>43</v>
      </c>
      <c r="C66" s="187"/>
      <c r="D66" s="187"/>
      <c r="E66" s="187"/>
      <c r="F66" s="27" t="s">
        <v>44</v>
      </c>
      <c r="G66" s="188" t="s">
        <v>45</v>
      </c>
      <c r="H66" s="188"/>
      <c r="I66" s="28" t="s">
        <v>46</v>
      </c>
      <c r="J66" s="28" t="s">
        <v>47</v>
      </c>
      <c r="K66" s="188" t="s">
        <v>48</v>
      </c>
      <c r="L66" s="188"/>
      <c r="M66" s="28" t="s">
        <v>49</v>
      </c>
      <c r="N66" s="12"/>
    </row>
    <row r="67" spans="1:14" ht="15.75" customHeight="1" x14ac:dyDescent="0.35">
      <c r="A67" s="70"/>
      <c r="B67" s="184" t="str">
        <f>F67</f>
        <v>Blockheizkraftwerk</v>
      </c>
      <c r="C67" s="184"/>
      <c r="D67" s="184"/>
      <c r="E67" s="184"/>
      <c r="F67" s="29" t="s">
        <v>124</v>
      </c>
      <c r="G67" s="30" t="s">
        <v>328</v>
      </c>
      <c r="H67" s="30" t="s">
        <v>325</v>
      </c>
      <c r="I67" s="30" t="s">
        <v>325</v>
      </c>
      <c r="J67" s="30" t="s">
        <v>325</v>
      </c>
      <c r="K67" s="31" t="s">
        <v>51</v>
      </c>
      <c r="L67" s="31" t="s">
        <v>52</v>
      </c>
      <c r="M67" s="31" t="s">
        <v>53</v>
      </c>
      <c r="N67" s="12"/>
    </row>
    <row r="68" spans="1:14" ht="15.75" customHeight="1" x14ac:dyDescent="0.35">
      <c r="A68" s="70" t="str">
        <f>Daten!A180</f>
        <v>BHKW – Erdgas</v>
      </c>
      <c r="B68" s="47" t="s">
        <v>125</v>
      </c>
      <c r="C68" s="74">
        <v>4.5999999999999996</v>
      </c>
      <c r="D68" s="34" t="s">
        <v>126</v>
      </c>
      <c r="E68" s="75">
        <f>IF($C$68&lt;=10,((Daten!B80*$C$68^Daten!C80)*$C$14/100)*1.19,IF($C$68&lt;=100,((Daten!B81*$C$68^Daten!C81)*$C$14/100*1.19),IF($C$68&lt;=1000,((Daten!B82*$C$68^Daten!C82)*$C$14/100*1.19),IF($C$68&lt;=19000,((Daten!B83*$C$68^Daten!C83)*$C$14/100*1.19),0))))</f>
        <v>8724.9493763277751</v>
      </c>
      <c r="F68" s="14" t="s">
        <v>127</v>
      </c>
      <c r="G68" s="37">
        <f>(1+C16)*(E68+E68*IF($C$68&lt;Daten!$B$104,Daten!$E$104/100,IF($C$68&lt;Daten!$C$105,Daten!$E$105/100,IF($C$68&lt;Daten!$C$106,Daten!$E$106/100,IF($C$68&lt;Daten!$C$107,Daten!$E$107/100,IF($C$68&lt;Daten!$C$108,Daten!$E$108/100,IF($C$68&lt;Daten!$C$109,Daten!$E$109/100,IF($C$68&lt;Daten!$C$110,Daten!$E$110/100,IF($C$68&lt;Daten!$C$111,Daten!$E$111/100,IF($C$68&lt;Daten!$C$112,Daten!$E$112/100,Daten!$E$113/100)))))))))+E68*IF($C$68&lt;Daten!$B$104,Daten!$G$104/100,IF($C$68&lt;Daten!$C$105,Daten!$G$105/100,IF($C$68&lt;Daten!$C$106,Daten!$G$106/100,IF($C$68&lt;Daten!$C$107,Daten!$G$107/100,IF($C$68&lt;Daten!$C$108,Daten!$G$108/100,IF($C$68&lt;Daten!$C$109,Daten!$G$109/100,IF($C$68&lt;Daten!$C$110,Daten!$G$110/100,IF($C$68&lt;Daten!$C$111,Daten!$G$111/100,IF($C$68&lt;Daten!$C$112,Daten!$G$112/100,Daten!$G$113/100))))))))))</f>
        <v>15150.874591993179</v>
      </c>
      <c r="H68" s="37">
        <f>ROUND(G68*$C$68,-2)</f>
        <v>69700</v>
      </c>
      <c r="I68" s="37">
        <f>IF(VLOOKUP($C$5,$A$53:$H$83,8,FALSE())&gt;=0,VLOOKUP($C$5,$A$53:$H$83,8,FALSE()),"Vollkosten der Bestandsanlage; Einzelfall prüfen") * IF($C$6&lt;=M68,(C6/M68),1)*IF(AND(I57=Daten!C170,C5=A58),C58,1)*IF(AND(I57=Daten!C170,C5=A59),C59,1)*IF(AND(I57=Daten!C170,C5=A60),C60,1)</f>
        <v>20400</v>
      </c>
      <c r="J68" s="37">
        <f>IFERROR(H68-I68,"Einzelfall prüfen!")</f>
        <v>49300</v>
      </c>
      <c r="K68" s="38" t="s">
        <v>128</v>
      </c>
      <c r="L68" s="39" t="s">
        <v>129</v>
      </c>
      <c r="M68" s="50">
        <v>20</v>
      </c>
      <c r="N68" s="12"/>
    </row>
    <row r="69" spans="1:14" ht="15.75" customHeight="1" x14ac:dyDescent="0.25">
      <c r="A69" s="70" t="str">
        <f>Daten!A181</f>
        <v>BHKW – Biogas</v>
      </c>
      <c r="B69" s="64"/>
      <c r="C69" s="76"/>
      <c r="D69" s="42"/>
      <c r="E69" s="77" t="e">
        <f t="array" ref="E69">_xlfn.IFS($C$68&lt;10,((Daten!B84*$C$68^Daten!C84)*$C$14/100)*1.19,$C$68&lt;=100,((Daten!B85*$C$68^Daten!C85)*$C$14/100)*1.19,$C$68&lt;=1000,((Daten!B86*$C$68^Daten!C86)*$C$14/100)*1.19,$C$68&lt;=9000,((Daten!B87*$C$68^Daten!C87)*$C$14/100)*1.19,TRUE(),0)</f>
        <v>#VALUE!</v>
      </c>
      <c r="F69" s="14" t="s">
        <v>130</v>
      </c>
      <c r="G69" s="37" t="str">
        <f>IF(C68&lt;10,"Einzelfall prüfen!",(1+C16)*(E69+E69*IF($C$68&lt;Daten!$B$104,Daten!$E$104/100,IF($C$68&lt;Daten!$C$105,Daten!$E$105/100,IF($C$68&lt;Daten!$C$106,Daten!$E$106/100,IF($C$68&lt;Daten!$C$107,Daten!$E$107/100,IF($C$68&lt;Daten!$C$108,Daten!$E$108/100,IF($C$68&lt;Daten!$C$109,Daten!$E$109/100,IF($C$68&lt;Daten!$C$110,Daten!$E$110/100,IF($C$68&lt;Daten!$C$111,Daten!$E$111/100,IF($C$68&lt;Daten!$C$112,Daten!$E$112/100,Daten!$E$113/100)))))))))+E69*IF($C$68&lt;Daten!$B$104,Daten!$G$104/100,IF($C$68&lt;Daten!$C$105,Daten!$G$105/100,IF($C$68&lt;Daten!$C$106,Daten!$G$106/100,IF($C$68&lt;Daten!$C$107,Daten!$G$107/100,IF($C$68&lt;Daten!$C$108,Daten!$G$108/100,IF($C$68&lt;Daten!$C$109,Daten!$G$109/100,IF($C$68&lt;Daten!$C$110,Daten!$G$110/100,IF($C$68&lt;Daten!$C$111,Daten!$G$111/100,IF($C$68&lt;Daten!$C$112,Daten!$G$112/100,Daten!$G$113/100)))))))))))</f>
        <v>Einzelfall prüfen!</v>
      </c>
      <c r="H69" s="37" t="str">
        <f>IF(C68&lt;10,"Einzelfall prüfen!",ROUND(G69*$C$68,-2))</f>
        <v>Einzelfall prüfen!</v>
      </c>
      <c r="I69" s="37">
        <f>IF(VLOOKUP($C$5,$A$53:$H$83,8,FALSE())&gt;=0,VLOOKUP($C$5,$A$53:$H$83,8,FALSE()),"Vollkosten der Bestandsanlage; Einzelfall prüfen") * IF($C$6&lt;=M69,(C6/M69),1)*IF(AND(I57=Daten!C170,C5=A58),C58,1)*IF(AND(I57=Daten!C170,C5=A59),C59,1)*IF(AND(I57=Daten!C170,C5=A60),C60,1)</f>
        <v>20400</v>
      </c>
      <c r="J69" s="37" t="str">
        <f>IFERROR(H69-I69,"Einzelfall prüfen!")</f>
        <v>Einzelfall prüfen!</v>
      </c>
      <c r="K69" s="38" t="s">
        <v>131</v>
      </c>
      <c r="L69" s="39" t="s">
        <v>129</v>
      </c>
      <c r="M69" s="50">
        <v>20</v>
      </c>
      <c r="N69" s="12"/>
    </row>
    <row r="70" spans="1:14" ht="15.75" customHeight="1" x14ac:dyDescent="0.25">
      <c r="A70" s="70" t="str">
        <f>Daten!A182</f>
        <v>BHKW – Klärgas</v>
      </c>
      <c r="B70" s="64"/>
      <c r="C70" s="76"/>
      <c r="D70" s="42"/>
      <c r="E70" s="77" t="e">
        <f t="array" ref="E70">_xlfn.IFS($C$68&lt;10,((Daten!B88*$C$68^Daten!C88)*$C$14/100)*1.19,$C$68&lt;=100,((Daten!B89*$C$68^Daten!C89)*$C$14/100)*1.19,$C$68&lt;=1000,((Daten!B90*$C$68^Daten!C90)*$C$14/100)*1.19,$C$68&lt;=9000,((Daten!B91*$C$68^Daten!C91)*$C$14/100)*1.19,TRUE(),0)</f>
        <v>#VALUE!</v>
      </c>
      <c r="F70" s="14" t="s">
        <v>132</v>
      </c>
      <c r="G70" s="37" t="str">
        <f>IF(C68&lt;10,"Einzelfall prüfen!",(1+C16)*(E70+E70*IF($C$68&lt;Daten!$B$104,Daten!$E$104/100,IF($C$68&lt;Daten!$C$105,Daten!$E$105/100,IF($C$68&lt;Daten!$C$106,Daten!$E$106/100,IF($C$68&lt;Daten!$C$107,Daten!$E$107/100,IF($C$68&lt;Daten!$C$108,Daten!$E$108/100,IF($C$68&lt;Daten!$C$109,Daten!$E$109/100,IF($C$68&lt;Daten!$C$110,Daten!$E$110/100,IF($C$68&lt;Daten!$C$111,Daten!$E$111/100,IF($C$68&lt;Daten!$C$112,Daten!$E$112/100,Daten!$E$113/100)))))))))+E70*IF($C$68&lt;Daten!$B$104,Daten!$G$104/100,IF($C$68&lt;Daten!$C$105,Daten!$G$105/100,IF($C$68&lt;Daten!$C$106,Daten!$G$106/100,IF($C$68&lt;Daten!$C$107,Daten!$G$107/100,IF($C$68&lt;Daten!$C$108,Daten!$G$108/100,IF($C$68&lt;Daten!$C$109,Daten!$G$109/100,IF($C$68&lt;Daten!$C$110,Daten!$G$110/100,IF($C$68&lt;Daten!$C$111,Daten!$G$111/100,IF($C$68&lt;Daten!$C$112,Daten!$G$112/100,Daten!$G$113/100)))))))))))</f>
        <v>Einzelfall prüfen!</v>
      </c>
      <c r="H70" s="37" t="str">
        <f>IF(C68&lt;10,"Einzelfall prüfen!",ROUND(G70*$C$68,-2))</f>
        <v>Einzelfall prüfen!</v>
      </c>
      <c r="I70" s="37">
        <f>IF(VLOOKUP($C$5,$A$53:$H$83,8,FALSE())&gt;=0,VLOOKUP($C$5,$A$53:$H$83,8,FALSE()),"Vollkosten der Bestandsanlage; Einzelfall prüfen")* IF($C$6&lt;=M70,(C6/M70),1)*IF(AND(I57=Daten!C170,C5=A58),C58,1)*IF(AND(I57=Daten!C170,C5=A59),C59,1)*IF(AND(I57=Daten!C170,C5=A60),C60,1)</f>
        <v>20400</v>
      </c>
      <c r="J70" s="37" t="str">
        <f>IFERROR(H70-I70,"Einzelfall prüfen!")</f>
        <v>Einzelfall prüfen!</v>
      </c>
      <c r="K70" s="38" t="s">
        <v>133</v>
      </c>
      <c r="L70" s="39" t="s">
        <v>129</v>
      </c>
      <c r="M70" s="50">
        <v>20</v>
      </c>
      <c r="N70" s="12"/>
    </row>
    <row r="71" spans="1:14" ht="15.75" customHeight="1" x14ac:dyDescent="0.25">
      <c r="A71" s="70" t="str">
        <f>Daten!A183</f>
        <v>BHKW – Flüssiggas</v>
      </c>
      <c r="B71" s="64"/>
      <c r="C71" s="76"/>
      <c r="D71" s="42"/>
      <c r="E71" s="77">
        <f>IF($C$68&lt;=10,((Daten!B92*$C$68^Daten!C92)*$C$14/100)*1.19,IF($C$68&lt;=100,((Daten!B93*$C$68^Daten!C93)*$C$14/100*1.19),IF($C$68&lt;=1000,((Daten!B94*$C$68^Daten!C94)*$C$14/100*1.19),0)))</f>
        <v>8644.0834262689787</v>
      </c>
      <c r="F71" s="14" t="s">
        <v>134</v>
      </c>
      <c r="G71" s="37">
        <f>(1+C16)*(E71+E71*IF($C$68&lt;Daten!$B$104,Daten!$E$104/100,IF($C$68&lt;Daten!$C$105,Daten!$E$105/100,IF($C$68&lt;Daten!$C$106,Daten!$E$106/100,IF($C$68&lt;Daten!$C$107,Daten!$E$107/100,IF($C$68&lt;Daten!$C$108,Daten!$E$108/100,IF($C$68&lt;Daten!$C$109,Daten!$E$109/100,IF($C$68&lt;Daten!$C$110,Daten!$E$110/100,IF($C$68&lt;Daten!$C$111,Daten!$E$111/100,IF($C$68&lt;Daten!$C$112,Daten!$E$112/100,Daten!$E$113/100)))))))))+E71*IF($C$68&lt;Daten!$B$104,Daten!$G$104/100,IF($C$68&lt;Daten!$C$105,Daten!$G$105/100,IF($C$68&lt;Daten!$C$106,Daten!$G$106/100,IF($C$68&lt;Daten!$C$107,Daten!$G$107/100,IF($C$68&lt;Daten!$C$108,Daten!$G$108/100,IF($C$68&lt;Daten!$C$109,Daten!$G$109/100,IF($C$68&lt;Daten!$C$110,Daten!$G$110/100,IF($C$68&lt;Daten!$C$111,Daten!$G$111/100,IF($C$68&lt;Daten!$C$112,Daten!$G$112/100,Daten!$G$113/100))))))))))</f>
        <v>15010.450869716078</v>
      </c>
      <c r="H71" s="37">
        <f>ROUND(G71*$C$68,-2)</f>
        <v>69000</v>
      </c>
      <c r="I71" s="37">
        <f>IF(VLOOKUP($C$5,$A$53:$H$83,8,FALSE())&gt;=0,VLOOKUP($C$5,$A$53:$H$83,8,FALSE()),"Vollkosten der Bestandsanlage; Einzelfall prüfen")* IF($C$6&lt;=M71,(C6/M71),1)*IF(AND(I57=Daten!C170,C5=A58),C58,1)*IF(AND(I57=Daten!C170,C5=A59),C59,1)*IF(AND(I57=Daten!C170,C5=A60),C60,1)</f>
        <v>20400</v>
      </c>
      <c r="J71" s="37">
        <f>IFERROR(H71-I71,"Einzelfall prüfen!")</f>
        <v>48600</v>
      </c>
      <c r="K71" s="38" t="s">
        <v>135</v>
      </c>
      <c r="L71" s="39" t="s">
        <v>129</v>
      </c>
      <c r="M71" s="50">
        <v>20</v>
      </c>
      <c r="N71" s="12"/>
    </row>
    <row r="72" spans="1:14" ht="15.75" customHeight="1" x14ac:dyDescent="0.25">
      <c r="A72" s="70" t="str">
        <f>Daten!A184</f>
        <v>BHKW – Heizöl</v>
      </c>
      <c r="B72" s="44"/>
      <c r="C72" s="78"/>
      <c r="D72" s="45"/>
      <c r="E72" s="79">
        <f>IF($C$68&lt;=10,((Daten!B96*$C$68^Daten!C96)*$C$14/100)*1.19,IF($C$68&lt;=100,((Daten!B97*$C$68^Daten!C97)*$C$14/100*1.19),0))</f>
        <v>8073.9087807227861</v>
      </c>
      <c r="F72" s="14" t="s">
        <v>136</v>
      </c>
      <c r="G72" s="37">
        <f>(1+C16)*(E72+E72*IF($C$68&lt;Daten!$B$104,Daten!$E$104/100,IF($C$68&lt;Daten!$C$105,Daten!$E$105/100,IF($C$68&lt;Daten!$C$106,Daten!$E$106/100,IF($C$68&lt;Daten!$C$107,Daten!$E$107/100,IF($C$68&lt;Daten!$C$108,Daten!$E$108/100,IF($C$68&lt;Daten!$C$109,Daten!$E$109/100,IF($C$68&lt;Daten!$C$110,Daten!$E$110/100,IF($C$68&lt;Daten!$C$111,Daten!$E$111/100,IF($C$68&lt;Daten!$C$112,Daten!$E$112/100,Daten!$E$113/100)))))))))+E72*IF($C$68&lt;Daten!$B$104,Daten!$G$104/100,IF($C$68&lt;Daten!$C$105,Daten!$G$105/100,IF($C$68&lt;Daten!$C$106,Daten!$G$106/100,IF($C$68&lt;Daten!$C$107,Daten!$G$107/100,IF($C$68&lt;Daten!$C$108,Daten!$G$108/100,IF($C$68&lt;Daten!$C$109,Daten!$G$109/100,IF($C$68&lt;Daten!$C$110,Daten!$G$110/100,IF($C$68&lt;Daten!$C$111,Daten!$G$111/100,IF($C$68&lt;Daten!$C$112,Daten!$G$112/100,Daten!$G$113/100))))))))))</f>
        <v>14020.342597725117</v>
      </c>
      <c r="H72" s="37">
        <f>ROUND(G72*$C$68,-2)</f>
        <v>64500</v>
      </c>
      <c r="I72" s="37">
        <f>IF(VLOOKUP($C$5,$A$53:$H$83,8,FALSE())&gt;=0,VLOOKUP($C$5,$A$53:$H$83,8,FALSE()),"Vollkosten der Bestandsanlage; Einzelfall prüfen") * IF($C$6&lt;=M72,(C6/M72),1)*IF(AND(I57=Daten!C170,C5=A58),C58,1)*IF(AND(I57=Daten!C170,C5=A59),C59,1)*IF(AND(I57=Daten!C170,C5=A60),C60,1)</f>
        <v>20400</v>
      </c>
      <c r="J72" s="37">
        <f>IFERROR(H72-I72,"Einzelfall prüfen!")</f>
        <v>44100</v>
      </c>
      <c r="K72" s="38" t="s">
        <v>137</v>
      </c>
      <c r="L72" s="39" t="s">
        <v>129</v>
      </c>
      <c r="M72" s="50">
        <v>20</v>
      </c>
      <c r="N72" s="12"/>
    </row>
    <row r="73" spans="1:14" ht="15.75" customHeight="1" x14ac:dyDescent="0.25">
      <c r="A73" s="70"/>
      <c r="B73" s="12"/>
      <c r="C73" s="12"/>
      <c r="D73" s="12"/>
      <c r="E73" s="12"/>
      <c r="F73" s="12"/>
      <c r="G73" s="80"/>
      <c r="H73" s="80"/>
      <c r="I73" s="80"/>
      <c r="J73" s="80"/>
      <c r="K73" s="80"/>
      <c r="L73" s="80"/>
      <c r="M73" s="80"/>
      <c r="N73" s="12"/>
    </row>
    <row r="74" spans="1:14" ht="35.1" customHeight="1" x14ac:dyDescent="0.25">
      <c r="A74" s="70"/>
      <c r="B74" s="187" t="s">
        <v>43</v>
      </c>
      <c r="C74" s="187"/>
      <c r="D74" s="187"/>
      <c r="E74" s="187"/>
      <c r="F74" s="27" t="s">
        <v>44</v>
      </c>
      <c r="G74" s="188" t="s">
        <v>45</v>
      </c>
      <c r="H74" s="188"/>
      <c r="I74" s="28" t="s">
        <v>46</v>
      </c>
      <c r="J74" s="28" t="s">
        <v>47</v>
      </c>
      <c r="K74" s="188" t="s">
        <v>48</v>
      </c>
      <c r="L74" s="188"/>
      <c r="M74" s="28" t="s">
        <v>49</v>
      </c>
      <c r="N74" s="12"/>
    </row>
    <row r="75" spans="1:14" ht="15.75" customHeight="1" x14ac:dyDescent="0.25">
      <c r="A75" s="70"/>
      <c r="B75" s="184" t="str">
        <f>F75</f>
        <v>Wärmeerzeuger + Solarthermie</v>
      </c>
      <c r="C75" s="184"/>
      <c r="D75" s="184"/>
      <c r="E75" s="184"/>
      <c r="F75" s="29" t="s">
        <v>138</v>
      </c>
      <c r="G75" s="30" t="s">
        <v>326</v>
      </c>
      <c r="H75" s="30" t="s">
        <v>325</v>
      </c>
      <c r="I75" s="30" t="s">
        <v>325</v>
      </c>
      <c r="J75" s="30" t="s">
        <v>325</v>
      </c>
      <c r="K75" s="31" t="s">
        <v>51</v>
      </c>
      <c r="L75" s="31" t="s">
        <v>52</v>
      </c>
      <c r="M75" s="31" t="s">
        <v>53</v>
      </c>
      <c r="N75" s="12"/>
    </row>
    <row r="76" spans="1:14" ht="15.75" customHeight="1" x14ac:dyDescent="0.25">
      <c r="A76" s="70" t="str">
        <f>Daten!A169</f>
        <v xml:space="preserve">Dropdownliste Auswahl Kessel im Bestand: </v>
      </c>
      <c r="B76" s="81" t="s">
        <v>139</v>
      </c>
      <c r="C76" s="74">
        <v>5.8</v>
      </c>
      <c r="D76" s="34" t="s">
        <v>55</v>
      </c>
      <c r="E76" s="48"/>
      <c r="F76" s="14" t="s">
        <v>140</v>
      </c>
      <c r="G76" s="37">
        <f t="shared" ref="G76:G83" si="3">ROUND((H76/$C$3),0)</f>
        <v>49</v>
      </c>
      <c r="H76" s="37">
        <f>ROUND((1+C16)*((Daten!B122*$C$76^Daten!C122)*$C$76*$C$14*1.19/100/112.5*C10),-2)</f>
        <v>7400</v>
      </c>
      <c r="I76" s="37">
        <v>0</v>
      </c>
      <c r="J76" s="37">
        <f>H76-I76</f>
        <v>7400</v>
      </c>
      <c r="K76" s="38" t="s">
        <v>141</v>
      </c>
      <c r="L76" s="39" t="s">
        <v>113</v>
      </c>
      <c r="M76" s="50">
        <v>20</v>
      </c>
      <c r="N76" s="12"/>
    </row>
    <row r="77" spans="1:14" ht="15.75" customHeight="1" x14ac:dyDescent="0.25">
      <c r="A77" s="70" t="str">
        <f>Daten!A185</f>
        <v>Solar für WW mit Gaskessel</v>
      </c>
      <c r="B77" s="82" t="s">
        <v>142</v>
      </c>
      <c r="C77" s="83"/>
      <c r="D77" s="83"/>
      <c r="E77" s="43"/>
      <c r="F77" s="14" t="s">
        <v>143</v>
      </c>
      <c r="G77" s="37">
        <f t="shared" si="3"/>
        <v>192</v>
      </c>
      <c r="H77" s="37">
        <f>ROUND((1+C16)*(H53+H76)*(1-Daten!D124),-2)</f>
        <v>28800</v>
      </c>
      <c r="I77" s="37">
        <f>IF(VLOOKUP($C$5,$A$53:$H$83,8,FALSE())&gt;=0,VLOOKUP($C$5,$A$53:$H$83,8,FALSE()),"Vollkosten der Bestandsanlage; Einzelfall prüfen") * IF($C$6&lt;=M77,(C6/M77),1)*IF(AND(I57=Daten!C170,C5=A58),C58,1)*IF(AND(I57=Daten!C170,C5=A59),C59,1)*IF(AND(I57=Daten!C170,C5=A60),C60,1)</f>
        <v>20400</v>
      </c>
      <c r="J77" s="37">
        <f>IFERROR(H77-I77,"Einzelfall prüfen!")</f>
        <v>8400</v>
      </c>
      <c r="K77" s="38" t="s">
        <v>144</v>
      </c>
      <c r="L77" s="39" t="s">
        <v>113</v>
      </c>
      <c r="M77" s="50">
        <v>20</v>
      </c>
      <c r="N77" s="12"/>
    </row>
    <row r="78" spans="1:14" ht="15.75" customHeight="1" x14ac:dyDescent="0.25">
      <c r="A78" s="70" t="str">
        <f>Daten!A186</f>
        <v>Solar für WW mit Ölkessel</v>
      </c>
      <c r="B78" s="82" t="s">
        <v>145</v>
      </c>
      <c r="C78" s="83">
        <f>ROUND(0.095*$C$3^0.8*1.1,1)</f>
        <v>5.8</v>
      </c>
      <c r="D78" s="83" t="s">
        <v>55</v>
      </c>
      <c r="E78" s="43"/>
      <c r="F78" s="14" t="s">
        <v>146</v>
      </c>
      <c r="G78" s="37">
        <f t="shared" si="3"/>
        <v>221</v>
      </c>
      <c r="H78" s="37">
        <f>ROUND((1+C16)*(H54+H76)*(1-Daten!D124),-2)</f>
        <v>33200</v>
      </c>
      <c r="I78" s="37">
        <f>IF(VLOOKUP($C$5,$A$53:$H$83,8,FALSE())&gt;=0,VLOOKUP($C$5,$A$53:$H$83,8,FALSE()),"Vollkosten der Bestandsanlage; Einzelfall prüfen") * IF($C$6&lt;=M78,(C6/M78),1)*IF(AND(I57=Daten!C170,C5=A58),C58,1)*IF(AND(I57=Daten!C170,C5=A59),C59,1)*IF(AND(I57=Daten!C170,C5=A60),C60,1)</f>
        <v>20400</v>
      </c>
      <c r="J78" s="37">
        <f>IFERROR(H78-I78,"Einzelfall prüfen!")</f>
        <v>12800</v>
      </c>
      <c r="K78" s="38" t="s">
        <v>144</v>
      </c>
      <c r="L78" s="39" t="s">
        <v>113</v>
      </c>
      <c r="M78" s="50">
        <v>20</v>
      </c>
      <c r="N78" s="12"/>
    </row>
    <row r="79" spans="1:14" ht="15.75" customHeight="1" x14ac:dyDescent="0.25">
      <c r="A79" s="70" t="str">
        <f>Daten!A187</f>
        <v>Solar für WW mit Pelletkessel</v>
      </c>
      <c r="B79" s="64"/>
      <c r="C79" s="58"/>
      <c r="D79" s="58"/>
      <c r="E79" s="43"/>
      <c r="F79" s="14" t="s">
        <v>147</v>
      </c>
      <c r="G79" s="37">
        <f t="shared" si="3"/>
        <v>329</v>
      </c>
      <c r="H79" s="37">
        <f>ROUND((1+C16)*(H55+H76)*(1-Daten!D124),-2)</f>
        <v>49400</v>
      </c>
      <c r="I79" s="37">
        <f>IF(VLOOKUP($C$5,$A$53:$H$83,8,FALSE())&gt;=0,VLOOKUP($C$5,$A$53:$H$83,8,FALSE()),"Vollkosten der Bestandsanlage; Einzelfall prüfen") * IF($C$6&lt;=M79,(C6/M79),1)*IF(AND(I57=Daten!C170,C5=A58),C58,1)*IF(AND(I57=Daten!C170,C5=A59),C59,1)*IF(AND(I57=Daten!C170,C5=A60),C60,1)</f>
        <v>20400</v>
      </c>
      <c r="J79" s="37">
        <f>IFERROR(H79-I79,"Einzelfall prüfen!")</f>
        <v>29000</v>
      </c>
      <c r="K79" s="38" t="s">
        <v>148</v>
      </c>
      <c r="L79" s="39" t="s">
        <v>113</v>
      </c>
      <c r="M79" s="50">
        <v>20</v>
      </c>
      <c r="N79" s="12"/>
    </row>
    <row r="80" spans="1:14" ht="15.75" customHeight="1" x14ac:dyDescent="0.25">
      <c r="A80" s="70" t="str">
        <f>Daten!A169</f>
        <v xml:space="preserve">Dropdownliste Auswahl Kessel im Bestand: </v>
      </c>
      <c r="B80" s="84" t="s">
        <v>149</v>
      </c>
      <c r="C80" s="85">
        <v>11.5</v>
      </c>
      <c r="D80" s="58" t="s">
        <v>55</v>
      </c>
      <c r="E80" s="43"/>
      <c r="F80" s="14" t="s">
        <v>150</v>
      </c>
      <c r="G80" s="37">
        <f t="shared" si="3"/>
        <v>83</v>
      </c>
      <c r="H80" s="37">
        <f>ROUND((1+C16)*(((Daten!B123*$C$80^Daten!C123)*$C$80)*$C$14/100*1.19/112.5*C10),-2)</f>
        <v>12500</v>
      </c>
      <c r="I80" s="37">
        <v>0</v>
      </c>
      <c r="J80" s="37">
        <f>H80-I80</f>
        <v>12500</v>
      </c>
      <c r="K80" s="38" t="s">
        <v>151</v>
      </c>
      <c r="L80" s="39" t="s">
        <v>113</v>
      </c>
      <c r="M80" s="50">
        <v>20</v>
      </c>
      <c r="N80" s="12"/>
    </row>
    <row r="81" spans="1:14" ht="15.75" customHeight="1" x14ac:dyDescent="0.25">
      <c r="A81" s="70" t="str">
        <f>Daten!A188</f>
        <v>Solar für WW&amp;H mit Gaskessel</v>
      </c>
      <c r="B81" s="82" t="s">
        <v>142</v>
      </c>
      <c r="C81" s="83"/>
      <c r="D81" s="83"/>
      <c r="E81" s="43"/>
      <c r="F81" s="14" t="s">
        <v>152</v>
      </c>
      <c r="G81" s="37">
        <f t="shared" si="3"/>
        <v>227</v>
      </c>
      <c r="H81" s="37">
        <f>ROUND((1+C16)*(H53+H80)*(1-Daten!D125),-2)</f>
        <v>34100</v>
      </c>
      <c r="I81" s="37">
        <f>IF(VLOOKUP($C$5,$A$53:$H$83,8,FALSE())&gt;=0,VLOOKUP($C$5,$A$53:$H$83,8,FALSE()),"Vollkosten der Bestandsanlage; Einzelfall prüfen") * IF($C$6&lt;=M81,(C6/M81),1)*IF(AND(I57=Daten!C170,C5=A58),C58,1)*IF(AND(I57=Daten!C170,C5=A59),C59,1)*IF(AND(I57=Daten!C170,C5=A60),C60,1)</f>
        <v>20400</v>
      </c>
      <c r="J81" s="37">
        <f>IFERROR(H81-I81,"Einzelfall prüfen!")</f>
        <v>13700</v>
      </c>
      <c r="K81" s="38" t="s">
        <v>153</v>
      </c>
      <c r="L81" s="39" t="s">
        <v>113</v>
      </c>
      <c r="M81" s="50">
        <v>20</v>
      </c>
      <c r="N81" s="12"/>
    </row>
    <row r="82" spans="1:14" ht="15.75" customHeight="1" x14ac:dyDescent="0.25">
      <c r="A82" s="70" t="str">
        <f>Daten!A189</f>
        <v>Solar für WW&amp;H mit Ölkessel</v>
      </c>
      <c r="B82" s="82" t="s">
        <v>154</v>
      </c>
      <c r="C82" s="83">
        <f>ROUND(0.19*$C$3^0.8*1.1,1)</f>
        <v>11.5</v>
      </c>
      <c r="D82" s="83" t="s">
        <v>55</v>
      </c>
      <c r="E82" s="43"/>
      <c r="F82" s="14" t="s">
        <v>155</v>
      </c>
      <c r="G82" s="37">
        <f t="shared" si="3"/>
        <v>257</v>
      </c>
      <c r="H82" s="37">
        <f>ROUND((1+C16)*(H54+H80)*(1-Daten!D125),-2)</f>
        <v>38500</v>
      </c>
      <c r="I82" s="37">
        <f>IF(VLOOKUP($C$5,$A$53:$H$83,8,FALSE())&gt;=0,VLOOKUP($C$5,$A$53:$H$83,8,FALSE()),"Vollkosten der Bestandsanlage; Einzelfall prüfen") * IF($C$6&lt;=M82,(C6/M82),1)*IF(AND(I57=Daten!C170,C5=A58),C58,1)*IF(AND(I57=Daten!C170,C5=A59),C59,1)*IF(AND(I57=Daten!C170,C5=A60),C60,1)</f>
        <v>20400</v>
      </c>
      <c r="J82" s="37">
        <f>IFERROR(H82-I82,"Einzelfall prüfen!")</f>
        <v>18100</v>
      </c>
      <c r="K82" s="38" t="s">
        <v>153</v>
      </c>
      <c r="L82" s="39" t="s">
        <v>113</v>
      </c>
      <c r="M82" s="50">
        <v>20</v>
      </c>
      <c r="N82" s="12"/>
    </row>
    <row r="83" spans="1:14" ht="15.75" customHeight="1" x14ac:dyDescent="0.25">
      <c r="A83" s="70" t="str">
        <f>Daten!A190</f>
        <v>Solar für WW&amp;H mit Pelletkessel</v>
      </c>
      <c r="B83" s="44"/>
      <c r="C83" s="45"/>
      <c r="D83" s="45"/>
      <c r="E83" s="46"/>
      <c r="F83" s="14" t="s">
        <v>156</v>
      </c>
      <c r="G83" s="37">
        <f t="shared" si="3"/>
        <v>364</v>
      </c>
      <c r="H83" s="37">
        <f>ROUND((1+C16)*(H55+H80)*(1-Daten!D125),-2)</f>
        <v>54600</v>
      </c>
      <c r="I83" s="37">
        <f>IF(VLOOKUP($C$5,$A$53:$H$83,8,FALSE())&gt;=0,VLOOKUP($C$5,$A$53:$H$83,8,FALSE()),"Vollkosten der Bestandsanlage; Einzelfall prüfen") * IF($C$6&lt;=M83,(C6/M83),1)*IF(AND(I57=Daten!C170,C5=A58),C58,1)*IF(AND(I57=Daten!C170,C5=A59),C59,1)*IF(AND(I57=Daten!C170,C5=A60),C60,1)</f>
        <v>20400</v>
      </c>
      <c r="J83" s="37">
        <f>IFERROR(H83-I83,"Einzelfall prüfen!")</f>
        <v>34200</v>
      </c>
      <c r="K83" s="38" t="s">
        <v>157</v>
      </c>
      <c r="L83" s="39" t="s">
        <v>113</v>
      </c>
      <c r="M83" s="50">
        <v>20</v>
      </c>
      <c r="N83" s="12"/>
    </row>
    <row r="84" spans="1:14" ht="15.75" customHeight="1" x14ac:dyDescent="0.25">
      <c r="A84" s="12"/>
      <c r="B84" s="12"/>
      <c r="C84" s="12"/>
      <c r="D84" s="12"/>
      <c r="E84" s="12"/>
      <c r="F84" s="186"/>
      <c r="G84" s="186"/>
      <c r="H84" s="186"/>
      <c r="I84" s="186"/>
      <c r="J84" s="186"/>
      <c r="K84" s="186"/>
      <c r="L84" s="186"/>
      <c r="M84" s="186"/>
      <c r="N84" s="12"/>
    </row>
    <row r="85" spans="1:14" ht="35.1" customHeight="1" x14ac:dyDescent="0.25">
      <c r="A85" s="12"/>
      <c r="B85" s="187" t="s">
        <v>43</v>
      </c>
      <c r="C85" s="187"/>
      <c r="D85" s="187"/>
      <c r="E85" s="187"/>
      <c r="F85" s="27" t="s">
        <v>44</v>
      </c>
      <c r="G85" s="188" t="s">
        <v>45</v>
      </c>
      <c r="H85" s="188"/>
      <c r="I85" s="28" t="s">
        <v>46</v>
      </c>
      <c r="J85" s="28" t="s">
        <v>47</v>
      </c>
      <c r="K85" s="188" t="s">
        <v>48</v>
      </c>
      <c r="L85" s="188"/>
      <c r="M85" s="28" t="s">
        <v>49</v>
      </c>
      <c r="N85" s="12"/>
    </row>
    <row r="86" spans="1:14" ht="15.75" customHeight="1" x14ac:dyDescent="0.35">
      <c r="A86" s="12"/>
      <c r="B86" s="189" t="str">
        <f>F86</f>
        <v>Photovoltaik-Anlage</v>
      </c>
      <c r="C86" s="189"/>
      <c r="D86" s="189"/>
      <c r="E86" s="189"/>
      <c r="F86" s="29" t="s">
        <v>158</v>
      </c>
      <c r="G86" s="30" t="s">
        <v>330</v>
      </c>
      <c r="H86" s="30" t="s">
        <v>325</v>
      </c>
      <c r="I86" s="30" t="s">
        <v>325</v>
      </c>
      <c r="J86" s="30" t="s">
        <v>325</v>
      </c>
      <c r="K86" s="31" t="s">
        <v>51</v>
      </c>
      <c r="L86" s="31" t="s">
        <v>52</v>
      </c>
      <c r="M86" s="31" t="s">
        <v>53</v>
      </c>
      <c r="N86" s="12"/>
    </row>
    <row r="87" spans="1:14" ht="15.75" customHeight="1" x14ac:dyDescent="0.35">
      <c r="A87" s="12"/>
      <c r="B87" s="32" t="s">
        <v>159</v>
      </c>
      <c r="C87" s="74">
        <v>10</v>
      </c>
      <c r="D87" s="34" t="s">
        <v>160</v>
      </c>
      <c r="E87" s="48"/>
      <c r="F87" s="55" t="s">
        <v>161</v>
      </c>
      <c r="G87" s="37">
        <f>H87/C87</f>
        <v>2140</v>
      </c>
      <c r="H87" s="37">
        <f>ROUND( (1+C16) * ((Daten!B133*C87^(Daten!C133)) * C87  * (1/1.05)*(1/1.71)*(C14/100) * 1.19), -2 )</f>
        <v>21400</v>
      </c>
      <c r="I87" s="37">
        <v>0</v>
      </c>
      <c r="J87" s="37">
        <f>H87</f>
        <v>21400</v>
      </c>
      <c r="K87" s="38" t="s">
        <v>162</v>
      </c>
      <c r="L87" s="38" t="s">
        <v>163</v>
      </c>
      <c r="M87" s="50">
        <v>25</v>
      </c>
      <c r="N87" s="12"/>
    </row>
    <row r="88" spans="1:14" ht="15.75" customHeight="1" x14ac:dyDescent="0.25">
      <c r="A88" s="12"/>
      <c r="B88" s="40"/>
      <c r="C88" s="86"/>
      <c r="D88" s="42"/>
      <c r="E88" s="43"/>
      <c r="F88" s="55"/>
      <c r="G88" s="30" t="s">
        <v>329</v>
      </c>
      <c r="H88" s="30" t="s">
        <v>325</v>
      </c>
      <c r="I88" s="30" t="s">
        <v>325</v>
      </c>
      <c r="J88" s="30" t="s">
        <v>325</v>
      </c>
      <c r="K88" s="185"/>
      <c r="L88" s="185"/>
      <c r="M88" s="50"/>
      <c r="N88" s="12"/>
    </row>
    <row r="89" spans="1:14" ht="15.75" customHeight="1" x14ac:dyDescent="0.25">
      <c r="A89" s="12"/>
      <c r="B89" s="87" t="s">
        <v>164</v>
      </c>
      <c r="C89" s="88">
        <v>5</v>
      </c>
      <c r="D89" s="45" t="s">
        <v>165</v>
      </c>
      <c r="E89" s="46"/>
      <c r="F89" s="55" t="s">
        <v>166</v>
      </c>
      <c r="G89" s="37">
        <f>H89/C89</f>
        <v>1180</v>
      </c>
      <c r="H89" s="37">
        <f>ROUND( (1+C16) * ((Daten!B134*C89^(Daten!C134)) * C89 * (1/1.05) * (1/1.71)*(Eingabe!C14/100) * 1.19), -2 )</f>
        <v>5900</v>
      </c>
      <c r="I89" s="37">
        <v>0</v>
      </c>
      <c r="J89" s="37">
        <f>H89</f>
        <v>5900</v>
      </c>
      <c r="K89" s="38" t="s">
        <v>162</v>
      </c>
      <c r="L89" s="38" t="s">
        <v>165</v>
      </c>
      <c r="M89" s="50">
        <v>10</v>
      </c>
      <c r="N89" s="12"/>
    </row>
    <row r="90" spans="1:14" ht="15.75" customHeight="1" x14ac:dyDescent="0.25">
      <c r="A90" s="12"/>
      <c r="B90" s="12"/>
      <c r="C90" s="12"/>
      <c r="D90" s="12"/>
      <c r="E90" s="12"/>
      <c r="F90" s="80"/>
      <c r="G90" s="80"/>
      <c r="H90" s="80"/>
      <c r="I90" s="80"/>
      <c r="J90" s="80"/>
      <c r="K90" s="80"/>
      <c r="L90" s="80"/>
      <c r="M90" s="80"/>
      <c r="N90" s="12"/>
    </row>
    <row r="91" spans="1:14" ht="35.1" customHeight="1" x14ac:dyDescent="0.25">
      <c r="A91" s="12"/>
      <c r="B91" s="187" t="s">
        <v>43</v>
      </c>
      <c r="C91" s="187"/>
      <c r="D91" s="187"/>
      <c r="E91" s="187"/>
      <c r="F91" s="27" t="s">
        <v>44</v>
      </c>
      <c r="G91" s="188" t="s">
        <v>45</v>
      </c>
      <c r="H91" s="188"/>
      <c r="I91" s="28" t="s">
        <v>46</v>
      </c>
      <c r="J91" s="28" t="s">
        <v>47</v>
      </c>
      <c r="K91" s="188" t="s">
        <v>48</v>
      </c>
      <c r="L91" s="188"/>
      <c r="M91" s="28" t="s">
        <v>49</v>
      </c>
      <c r="N91" s="12"/>
    </row>
    <row r="92" spans="1:14" ht="15.75" customHeight="1" x14ac:dyDescent="0.25">
      <c r="A92" s="12"/>
      <c r="B92" s="184" t="str">
        <f>F92</f>
        <v>weitere technische Gebäudeausrüstung</v>
      </c>
      <c r="C92" s="184"/>
      <c r="D92" s="184"/>
      <c r="E92" s="184"/>
      <c r="F92" s="29" t="s">
        <v>167</v>
      </c>
      <c r="G92" s="30" t="s">
        <v>326</v>
      </c>
      <c r="H92" s="30" t="s">
        <v>331</v>
      </c>
      <c r="I92" s="30" t="s">
        <v>333</v>
      </c>
      <c r="J92" s="30" t="s">
        <v>333</v>
      </c>
      <c r="K92" s="31" t="s">
        <v>51</v>
      </c>
      <c r="L92" s="31" t="s">
        <v>52</v>
      </c>
      <c r="M92" s="31" t="s">
        <v>53</v>
      </c>
      <c r="N92" s="12"/>
    </row>
    <row r="93" spans="1:14" ht="15.75" customHeight="1" x14ac:dyDescent="0.25">
      <c r="A93" s="12"/>
      <c r="B93" s="47"/>
      <c r="C93" s="34"/>
      <c r="D93" s="34"/>
      <c r="E93" s="48"/>
      <c r="F93" s="14" t="s">
        <v>168</v>
      </c>
      <c r="G93" s="37">
        <f>ROUND((H93/$C$3),0)</f>
        <v>94</v>
      </c>
      <c r="H93" s="37">
        <f>ROUND((1+C16)*(((Daten!D137*$C$3^Daten!E137)*$C$3)*$C$14/100),-2)</f>
        <v>14100</v>
      </c>
      <c r="I93" s="37">
        <f>H93-J93</f>
        <v>14100</v>
      </c>
      <c r="J93" s="37">
        <v>0</v>
      </c>
      <c r="K93" s="38" t="s">
        <v>117</v>
      </c>
      <c r="L93" s="39" t="s">
        <v>113</v>
      </c>
      <c r="M93" s="50">
        <v>50</v>
      </c>
      <c r="N93" s="12"/>
    </row>
    <row r="94" spans="1:14" ht="15.75" customHeight="1" x14ac:dyDescent="0.25">
      <c r="A94" s="12"/>
      <c r="B94" s="64"/>
      <c r="C94" s="58"/>
      <c r="D94" s="58"/>
      <c r="E94" s="43"/>
      <c r="F94" s="20" t="s">
        <v>169</v>
      </c>
      <c r="G94" s="49">
        <f>ROUND((H94/$C$3),0)</f>
        <v>138</v>
      </c>
      <c r="H94" s="49">
        <f>ROUND((1+$C$16)*(Daten!B151*(Daten!D151/100)*$C$3)*$C$14/100,-2)</f>
        <v>20700</v>
      </c>
      <c r="I94" s="49">
        <f>I93</f>
        <v>14100</v>
      </c>
      <c r="J94" s="49">
        <f>H94-I94</f>
        <v>6600</v>
      </c>
      <c r="K94" s="185" t="s">
        <v>68</v>
      </c>
      <c r="L94" s="185"/>
      <c r="M94" s="50">
        <v>50</v>
      </c>
      <c r="N94" s="12"/>
    </row>
    <row r="95" spans="1:14" ht="15.75" customHeight="1" x14ac:dyDescent="0.25">
      <c r="A95" s="12"/>
      <c r="B95" s="64"/>
      <c r="C95" s="58"/>
      <c r="D95" s="58"/>
      <c r="E95" s="43"/>
      <c r="F95" s="14" t="s">
        <v>170</v>
      </c>
      <c r="G95" s="37">
        <f>ROUND((H95/$C$3),0)</f>
        <v>28</v>
      </c>
      <c r="H95" s="37">
        <f>ROUND((1+C16)*(((Daten!D138*$C$3^Daten!E138)*$C$3)*$C$14/100),-2)</f>
        <v>4200</v>
      </c>
      <c r="I95" s="37">
        <f>H95-J95</f>
        <v>4200</v>
      </c>
      <c r="J95" s="37">
        <v>0</v>
      </c>
      <c r="K95" s="38" t="s">
        <v>171</v>
      </c>
      <c r="L95" s="39" t="s">
        <v>113</v>
      </c>
      <c r="M95" s="50">
        <v>50</v>
      </c>
      <c r="N95" s="12"/>
    </row>
    <row r="96" spans="1:14" ht="15.75" customHeight="1" x14ac:dyDescent="0.25">
      <c r="A96" s="12"/>
      <c r="B96" s="64"/>
      <c r="C96" s="58"/>
      <c r="D96" s="58"/>
      <c r="E96" s="43"/>
      <c r="F96" s="14" t="s">
        <v>172</v>
      </c>
      <c r="G96" s="37">
        <f>ROUND((H96/$C$3),0)</f>
        <v>52</v>
      </c>
      <c r="H96" s="37">
        <f>ROUND((1+C16)*(((Daten!D139*$C$3^Daten!E139)*$C$3)*$C$14/100),-2)</f>
        <v>7800</v>
      </c>
      <c r="I96" s="37">
        <f>H96-J96</f>
        <v>7800</v>
      </c>
      <c r="J96" s="37">
        <v>0</v>
      </c>
      <c r="K96" s="38" t="s">
        <v>117</v>
      </c>
      <c r="L96" s="39" t="s">
        <v>113</v>
      </c>
      <c r="M96" s="50">
        <v>50</v>
      </c>
      <c r="N96" s="12"/>
    </row>
    <row r="97" spans="1:14" ht="15.75" customHeight="1" x14ac:dyDescent="0.25">
      <c r="A97" s="12"/>
      <c r="B97" s="64" t="s">
        <v>173</v>
      </c>
      <c r="C97" s="71">
        <v>10</v>
      </c>
      <c r="D97" s="58" t="s">
        <v>119</v>
      </c>
      <c r="E97" s="43"/>
      <c r="F97" s="14" t="s">
        <v>174</v>
      </c>
      <c r="G97" s="49">
        <f>ROUND((H97/$C$3),0)</f>
        <v>19</v>
      </c>
      <c r="H97" s="49">
        <f>ROUND((1+C16)*(Daten!D148+Daten!E148*C97)*$C$14/100,-2)</f>
        <v>2800</v>
      </c>
      <c r="I97" s="49">
        <f>H97-J97</f>
        <v>2800</v>
      </c>
      <c r="J97" s="49">
        <v>0</v>
      </c>
      <c r="K97" s="185" t="s">
        <v>68</v>
      </c>
      <c r="L97" s="185"/>
      <c r="M97" s="50" t="s">
        <v>66</v>
      </c>
      <c r="N97" s="12"/>
    </row>
    <row r="98" spans="1:14" ht="15.75" customHeight="1" x14ac:dyDescent="0.25">
      <c r="A98" s="12"/>
      <c r="B98" s="64" t="s">
        <v>356</v>
      </c>
      <c r="C98" s="71">
        <v>12</v>
      </c>
      <c r="D98" s="58" t="s">
        <v>119</v>
      </c>
      <c r="E98" s="43"/>
      <c r="F98" s="14" t="s">
        <v>175</v>
      </c>
      <c r="G98" s="49">
        <f>ROUND((H98/$C$3)*C$4,0)</f>
        <v>104</v>
      </c>
      <c r="H98" s="49">
        <f>ROUND((1+C16)*(Daten!B152*Daten!D152*C98)*$C$14/100,-2)</f>
        <v>15600</v>
      </c>
      <c r="I98" s="49">
        <f>H98-J98</f>
        <v>15600</v>
      </c>
      <c r="J98" s="49">
        <v>0</v>
      </c>
      <c r="K98" s="185" t="s">
        <v>68</v>
      </c>
      <c r="L98" s="185"/>
      <c r="M98" s="19">
        <v>50</v>
      </c>
      <c r="N98" s="12"/>
    </row>
    <row r="99" spans="1:14" ht="15.75" customHeight="1" x14ac:dyDescent="0.25">
      <c r="A99" s="12"/>
      <c r="B99" s="64"/>
      <c r="C99" s="58"/>
      <c r="D99" s="58"/>
      <c r="E99" s="43"/>
      <c r="F99" s="14"/>
      <c r="G99" s="30" t="s">
        <v>326</v>
      </c>
      <c r="H99" s="30" t="str">
        <f>I99</f>
        <v>[€/ Wohneinheit]</v>
      </c>
      <c r="I99" s="171" t="s">
        <v>332</v>
      </c>
      <c r="J99" s="30" t="str">
        <f>I99</f>
        <v>[€/ Wohneinheit]</v>
      </c>
      <c r="K99" s="185"/>
      <c r="L99" s="185"/>
      <c r="M99" s="50"/>
      <c r="N99" s="12"/>
    </row>
    <row r="100" spans="1:14" ht="15.75" customHeight="1" x14ac:dyDescent="0.25">
      <c r="A100" s="12"/>
      <c r="B100" s="64"/>
      <c r="C100" s="58"/>
      <c r="D100" s="58"/>
      <c r="E100" s="43"/>
      <c r="F100" s="14" t="s">
        <v>176</v>
      </c>
      <c r="G100" s="49">
        <f>ROUND(IF(I99=Daten!C173,(H100*C4)/$C$3,(H100/$C$3)),0)</f>
        <v>91</v>
      </c>
      <c r="H100" s="49">
        <f>ROUND(((1+C$16)*(((Daten!K143+Daten!L143+Daten!M143))*$C$14/100)/1.252)*IF(I99=Daten!C173,1,C4),-2)</f>
        <v>13700</v>
      </c>
      <c r="I100" s="49">
        <f>H$102 * IF($C$6&lt;=M100,(C6/M100),1)</f>
        <v>2100</v>
      </c>
      <c r="J100" s="49">
        <f>H100-I100</f>
        <v>11600</v>
      </c>
      <c r="K100" s="185" t="s">
        <v>68</v>
      </c>
      <c r="L100" s="185"/>
      <c r="M100" s="19">
        <v>20</v>
      </c>
      <c r="N100" s="12"/>
    </row>
    <row r="101" spans="1:14" ht="15.75" customHeight="1" x14ac:dyDescent="0.25">
      <c r="A101" s="12"/>
      <c r="B101" s="64" t="s">
        <v>177</v>
      </c>
      <c r="C101" s="71">
        <v>5</v>
      </c>
      <c r="D101" s="58" t="s">
        <v>178</v>
      </c>
      <c r="E101" s="43"/>
      <c r="F101" s="14" t="s">
        <v>179</v>
      </c>
      <c r="G101" s="49">
        <f>ROUND(IF(I99=Daten!C173,(H101/$C$3)*C$4,(H101/$C$3)),0)</f>
        <v>86</v>
      </c>
      <c r="H101" s="49">
        <f>ROUND(((1+C$16)*(((Daten!K144+Daten!L144+Daten!M144)*C101)*$C$14/100)/1.252)*IF(I99=Daten!C173,1,C4),-2)</f>
        <v>12900</v>
      </c>
      <c r="I101" s="49">
        <f>H$102 * IF($C$6&lt;=M101,(C6/M101),1)</f>
        <v>2100</v>
      </c>
      <c r="J101" s="49">
        <f>H101-I101</f>
        <v>10800</v>
      </c>
      <c r="K101" s="185" t="s">
        <v>68</v>
      </c>
      <c r="L101" s="185"/>
      <c r="M101" s="19">
        <v>20</v>
      </c>
      <c r="N101" s="12"/>
    </row>
    <row r="102" spans="1:14" ht="15.75" customHeight="1" x14ac:dyDescent="0.25">
      <c r="A102" s="12"/>
      <c r="B102" s="64"/>
      <c r="C102" s="89"/>
      <c r="D102" s="58"/>
      <c r="E102" s="43"/>
      <c r="F102" s="14" t="s">
        <v>180</v>
      </c>
      <c r="G102" s="49">
        <f>ROUND(IF(I99=Daten!C173,(H102/$C$3)*C$4,(H102/$C$3)),0)</f>
        <v>14</v>
      </c>
      <c r="H102" s="49">
        <f>ROUND(((1+C$16)*(((Daten!K145+Daten!L145+Daten!M145))*$C$14/100)/1.252)*IF(I99=Daten!C173,1,C4),-2)</f>
        <v>2100</v>
      </c>
      <c r="I102" s="49">
        <f>H$102 * IF($C$6&lt;=M102,(C6/M102),1)</f>
        <v>2100</v>
      </c>
      <c r="J102" s="49">
        <f>H102-I102</f>
        <v>0</v>
      </c>
      <c r="K102" s="185" t="s">
        <v>68</v>
      </c>
      <c r="L102" s="185"/>
      <c r="M102" s="19">
        <v>10</v>
      </c>
      <c r="N102" s="12"/>
    </row>
    <row r="103" spans="1:14" ht="15.75" customHeight="1" x14ac:dyDescent="0.25">
      <c r="A103" s="12"/>
      <c r="B103" s="44"/>
      <c r="C103" s="45"/>
      <c r="D103" s="45"/>
      <c r="E103" s="46"/>
      <c r="F103" s="20" t="s">
        <v>181</v>
      </c>
      <c r="G103" s="49">
        <f>ROUND(IF(I99=Daten!C173,(H103/$C$3)*C$4,(H103/$C$3)),0)</f>
        <v>123</v>
      </c>
      <c r="H103" s="49">
        <f>ROUND(((1+C$16)*(((Daten!K146+Daten!L146+Daten!M146))*$C$14/100)/1.252)*IF(I99=Daten!C173,1,C4),-2)</f>
        <v>18500</v>
      </c>
      <c r="I103" s="49">
        <f>H$102 * IF($C$6&lt;=M103,(C6/M103),1)</f>
        <v>2100</v>
      </c>
      <c r="J103" s="49">
        <f>H103-I103</f>
        <v>16400</v>
      </c>
      <c r="K103" s="185" t="s">
        <v>68</v>
      </c>
      <c r="L103" s="185"/>
      <c r="M103" s="19">
        <v>10</v>
      </c>
      <c r="N103" s="12"/>
    </row>
    <row r="104" spans="1:14" ht="15.75" customHeight="1" x14ac:dyDescent="0.25">
      <c r="A104" s="12"/>
      <c r="B104" s="12"/>
      <c r="C104" s="12"/>
      <c r="D104" s="12"/>
      <c r="E104" s="12"/>
      <c r="F104" s="186"/>
      <c r="G104" s="186"/>
      <c r="H104" s="186"/>
      <c r="I104" s="186"/>
      <c r="J104" s="186"/>
      <c r="K104" s="186"/>
      <c r="L104" s="186"/>
      <c r="M104" s="186"/>
      <c r="N104" s="12"/>
    </row>
    <row r="105" spans="1:14" ht="35.1" customHeight="1" x14ac:dyDescent="0.25">
      <c r="A105" s="12"/>
      <c r="B105" s="187" t="s">
        <v>43</v>
      </c>
      <c r="C105" s="187"/>
      <c r="D105" s="187"/>
      <c r="E105" s="187"/>
      <c r="F105" s="27" t="s">
        <v>44</v>
      </c>
      <c r="G105" s="188" t="s">
        <v>45</v>
      </c>
      <c r="H105" s="188"/>
      <c r="I105" s="28" t="s">
        <v>46</v>
      </c>
      <c r="J105" s="28" t="s">
        <v>47</v>
      </c>
      <c r="K105" s="188" t="s">
        <v>48</v>
      </c>
      <c r="L105" s="188"/>
      <c r="M105" s="28" t="s">
        <v>49</v>
      </c>
      <c r="N105" s="12"/>
    </row>
    <row r="106" spans="1:14" ht="15.75" customHeight="1" x14ac:dyDescent="0.25">
      <c r="A106" s="12"/>
      <c r="B106" s="184" t="str">
        <f>F106</f>
        <v>sonstige Bauleistungen</v>
      </c>
      <c r="C106" s="184"/>
      <c r="D106" s="184"/>
      <c r="E106" s="184"/>
      <c r="F106" s="29" t="s">
        <v>182</v>
      </c>
      <c r="G106" s="30" t="s">
        <v>326</v>
      </c>
      <c r="H106" s="30" t="s">
        <v>334</v>
      </c>
      <c r="I106" s="30" t="s">
        <v>334</v>
      </c>
      <c r="J106" s="30" t="s">
        <v>334</v>
      </c>
      <c r="K106" s="31" t="s">
        <v>51</v>
      </c>
      <c r="L106" s="31" t="s">
        <v>52</v>
      </c>
      <c r="M106" s="31" t="s">
        <v>53</v>
      </c>
      <c r="N106" s="12"/>
    </row>
    <row r="107" spans="1:14" ht="15.75" customHeight="1" x14ac:dyDescent="0.25">
      <c r="A107" s="12"/>
      <c r="B107" s="47"/>
      <c r="C107" s="34"/>
      <c r="D107" s="34"/>
      <c r="E107" s="48"/>
      <c r="F107" s="14" t="s">
        <v>183</v>
      </c>
      <c r="G107" s="37">
        <f>ROUND((H107/$C$3),0)</f>
        <v>31</v>
      </c>
      <c r="H107" s="37">
        <f>ROUND((1+C16)*(((Daten!D155*$C$3^Daten!E155)*$C$3)*$C$14/100),-2)</f>
        <v>4600</v>
      </c>
      <c r="I107" s="37">
        <f>H107-J107</f>
        <v>4600</v>
      </c>
      <c r="J107" s="37">
        <v>0</v>
      </c>
      <c r="K107" s="38" t="s">
        <v>184</v>
      </c>
      <c r="L107" s="39" t="s">
        <v>113</v>
      </c>
      <c r="M107" s="39" t="s">
        <v>66</v>
      </c>
      <c r="N107" s="12"/>
    </row>
    <row r="108" spans="1:14" ht="15.75" customHeight="1" x14ac:dyDescent="0.25">
      <c r="A108" s="12"/>
      <c r="B108" s="64"/>
      <c r="C108" s="42"/>
      <c r="D108" s="42"/>
      <c r="E108" s="43"/>
      <c r="F108" s="14" t="s">
        <v>185</v>
      </c>
      <c r="G108" s="37">
        <f>ROUND((H108/$C$3),0)</f>
        <v>15</v>
      </c>
      <c r="H108" s="37">
        <f>ROUND(IF(OR(C4=1,C4=2),Daten!B158*($C$14/100),IF(AND(C4&gt;=3,C4&lt;=8),Daten!B159*($C$14/100),"")),-2)</f>
        <v>2300</v>
      </c>
      <c r="I108" s="37">
        <f>H108-J108</f>
        <v>0</v>
      </c>
      <c r="J108" s="37">
        <f>H108</f>
        <v>2300</v>
      </c>
      <c r="K108" s="38" t="s">
        <v>186</v>
      </c>
      <c r="L108" s="39" t="s">
        <v>187</v>
      </c>
      <c r="M108" s="50" t="s">
        <v>66</v>
      </c>
      <c r="N108" s="12"/>
    </row>
    <row r="109" spans="1:14" ht="15.75" customHeight="1" x14ac:dyDescent="0.25">
      <c r="A109" s="12"/>
      <c r="B109" s="64"/>
      <c r="C109" s="42"/>
      <c r="D109" s="42"/>
      <c r="E109" s="43"/>
      <c r="F109" s="14" t="s">
        <v>188</v>
      </c>
      <c r="G109" s="37">
        <f>ROUND((H109/$C$3),0)</f>
        <v>20</v>
      </c>
      <c r="H109" s="37">
        <f>ROUND(IF(OR(C4=1,C4=2),(Daten!B158+Daten!B160)*($C$14/100),IF(AND(C4&gt;=3,C4&lt;=8),(Daten!B159+Daten!B160)*($C$14/100),"")),-2)</f>
        <v>3000</v>
      </c>
      <c r="I109" s="37">
        <f>H109-J109</f>
        <v>0</v>
      </c>
      <c r="J109" s="37">
        <f>H109</f>
        <v>3000</v>
      </c>
      <c r="K109" s="38" t="s">
        <v>189</v>
      </c>
      <c r="L109" s="39" t="s">
        <v>187</v>
      </c>
      <c r="M109" s="50" t="s">
        <v>66</v>
      </c>
      <c r="N109" s="12"/>
    </row>
    <row r="110" spans="1:14" ht="15.75" customHeight="1" x14ac:dyDescent="0.25">
      <c r="A110" s="12"/>
      <c r="B110" s="44"/>
      <c r="C110" s="45"/>
      <c r="D110" s="45"/>
      <c r="E110" s="46"/>
      <c r="F110" s="55" t="s">
        <v>190</v>
      </c>
      <c r="G110" s="37">
        <f>ROUND((H110/$C$3),0)</f>
        <v>64</v>
      </c>
      <c r="H110" s="37">
        <f>ROUND((((Daten!D162*$C$3^Daten!E162)*$C$3)*$C$14/100),-2)</f>
        <v>9600</v>
      </c>
      <c r="I110" s="37">
        <f>H110-J110</f>
        <v>9600</v>
      </c>
      <c r="J110" s="37">
        <v>0</v>
      </c>
      <c r="K110" s="38" t="s">
        <v>184</v>
      </c>
      <c r="L110" s="39" t="s">
        <v>113</v>
      </c>
      <c r="M110" s="50" t="s">
        <v>66</v>
      </c>
      <c r="N110" s="12"/>
    </row>
    <row r="111" spans="1:14" ht="15.75" customHeight="1" x14ac:dyDescent="0.25">
      <c r="A111" s="12"/>
      <c r="B111" s="90"/>
      <c r="C111" s="90"/>
      <c r="D111" s="90"/>
      <c r="E111" s="90"/>
      <c r="F111" s="12"/>
      <c r="G111" s="12"/>
      <c r="H111" s="12"/>
      <c r="I111" s="13"/>
      <c r="J111" s="13"/>
      <c r="K111" s="12"/>
      <c r="L111" s="12"/>
      <c r="M111" s="12"/>
      <c r="N111" s="12"/>
    </row>
    <row r="112" spans="1:14" ht="15.75" customHeight="1" x14ac:dyDescent="0.25">
      <c r="A112" s="12"/>
      <c r="B112" s="90"/>
      <c r="C112" s="90"/>
      <c r="D112" s="90"/>
      <c r="E112" s="90"/>
      <c r="F112" s="12"/>
      <c r="G112" s="12"/>
      <c r="H112" s="12"/>
      <c r="I112" s="13"/>
      <c r="J112" s="13"/>
      <c r="K112" s="12"/>
      <c r="L112" s="12"/>
      <c r="M112" s="12"/>
      <c r="N112" s="12"/>
    </row>
    <row r="116" spans="6:13" x14ac:dyDescent="0.25">
      <c r="K116" s="91"/>
      <c r="L116" s="92"/>
      <c r="M116" s="91"/>
    </row>
    <row r="117" spans="6:13" x14ac:dyDescent="0.25">
      <c r="K117" s="91"/>
      <c r="L117" s="92"/>
      <c r="M117" s="92"/>
    </row>
    <row r="120" spans="6:13" x14ac:dyDescent="0.25">
      <c r="K120" s="91"/>
      <c r="L120" s="92"/>
      <c r="M120" s="91"/>
    </row>
    <row r="121" spans="6:13" x14ac:dyDescent="0.25">
      <c r="K121" s="91"/>
      <c r="L121" s="92"/>
      <c r="M121" s="92"/>
    </row>
    <row r="126" spans="6:13" x14ac:dyDescent="0.25">
      <c r="F126" s="93"/>
      <c r="K126" s="91"/>
      <c r="L126" s="92"/>
      <c r="M126" s="91"/>
    </row>
    <row r="127" spans="6:13" x14ac:dyDescent="0.25">
      <c r="F127" s="93"/>
      <c r="K127" s="91"/>
      <c r="L127" s="92"/>
      <c r="M127" s="92"/>
    </row>
    <row r="130" spans="11:13" x14ac:dyDescent="0.25">
      <c r="K130" s="91"/>
      <c r="L130" s="92"/>
      <c r="M130" s="91"/>
    </row>
    <row r="131" spans="11:13" x14ac:dyDescent="0.25">
      <c r="K131" s="91"/>
      <c r="L131" s="92"/>
      <c r="M131" s="92"/>
    </row>
  </sheetData>
  <sheetProtection algorithmName="SHA-512" hashValue="5Hzvdq/dcgXZxkKL2BEkWwpzpAH89t/sM/CCdikFefrqXw7PSMcoH+tiT7kl2FZA3XHlFK4mBRqhk/lKRb6Dmg==" saltValue="OniOtPrSx7fBu/TjlpjKWw==" spinCount="100000" sheet="1" objects="1" scenarios="1"/>
  <mergeCells count="75">
    <mergeCell ref="B2:E2"/>
    <mergeCell ref="G2:I2"/>
    <mergeCell ref="J2:M2"/>
    <mergeCell ref="C3:D3"/>
    <mergeCell ref="C4:D4"/>
    <mergeCell ref="C5:D5"/>
    <mergeCell ref="C6:D6"/>
    <mergeCell ref="C7:D7"/>
    <mergeCell ref="B9:E9"/>
    <mergeCell ref="D10:E10"/>
    <mergeCell ref="D11:E11"/>
    <mergeCell ref="D12:E12"/>
    <mergeCell ref="D13:E13"/>
    <mergeCell ref="D14:E14"/>
    <mergeCell ref="D16:E16"/>
    <mergeCell ref="B18:E18"/>
    <mergeCell ref="G18:H18"/>
    <mergeCell ref="K18:L18"/>
    <mergeCell ref="B19:E19"/>
    <mergeCell ref="K23:L23"/>
    <mergeCell ref="K24:L24"/>
    <mergeCell ref="K25:L25"/>
    <mergeCell ref="K26:L26"/>
    <mergeCell ref="K27:L27"/>
    <mergeCell ref="F28:M28"/>
    <mergeCell ref="B29:E29"/>
    <mergeCell ref="G29:H29"/>
    <mergeCell ref="K29:L29"/>
    <mergeCell ref="B30:E30"/>
    <mergeCell ref="K36:L36"/>
    <mergeCell ref="K37:L37"/>
    <mergeCell ref="K44:L44"/>
    <mergeCell ref="K45:L45"/>
    <mergeCell ref="K46:L46"/>
    <mergeCell ref="K47:L47"/>
    <mergeCell ref="K48:L48"/>
    <mergeCell ref="K49:L49"/>
    <mergeCell ref="F50:M50"/>
    <mergeCell ref="B51:E51"/>
    <mergeCell ref="G51:H51"/>
    <mergeCell ref="K51:L51"/>
    <mergeCell ref="B52:E52"/>
    <mergeCell ref="B54:E56"/>
    <mergeCell ref="F65:M65"/>
    <mergeCell ref="B66:E66"/>
    <mergeCell ref="G66:H66"/>
    <mergeCell ref="K66:L66"/>
    <mergeCell ref="B67:E67"/>
    <mergeCell ref="B74:E74"/>
    <mergeCell ref="G74:H74"/>
    <mergeCell ref="K74:L74"/>
    <mergeCell ref="B75:E75"/>
    <mergeCell ref="F84:M84"/>
    <mergeCell ref="B85:E85"/>
    <mergeCell ref="G85:H85"/>
    <mergeCell ref="K85:L85"/>
    <mergeCell ref="B86:E86"/>
    <mergeCell ref="K88:L88"/>
    <mergeCell ref="B91:E91"/>
    <mergeCell ref="G91:H91"/>
    <mergeCell ref="K91:L91"/>
    <mergeCell ref="B92:E92"/>
    <mergeCell ref="K94:L94"/>
    <mergeCell ref="K97:L97"/>
    <mergeCell ref="K98:L98"/>
    <mergeCell ref="K99:L99"/>
    <mergeCell ref="K100:L100"/>
    <mergeCell ref="B106:E106"/>
    <mergeCell ref="K101:L101"/>
    <mergeCell ref="K102:L102"/>
    <mergeCell ref="K103:L103"/>
    <mergeCell ref="F104:M104"/>
    <mergeCell ref="B105:E105"/>
    <mergeCell ref="G105:H105"/>
    <mergeCell ref="K105:L105"/>
  </mergeCells>
  <conditionalFormatting sqref="G20:K20">
    <cfRule type="expression" dxfId="34" priority="29">
      <formula>OR($C$20&lt;0.8,$C$20&gt;8.5)</formula>
    </cfRule>
  </conditionalFormatting>
  <conditionalFormatting sqref="G21:K21">
    <cfRule type="expression" dxfId="33" priority="30">
      <formula>OR($C$20&lt;0.8,$C$20&gt;8.6)</formula>
    </cfRule>
  </conditionalFormatting>
  <conditionalFormatting sqref="G22:K22">
    <cfRule type="expression" dxfId="32" priority="14">
      <formula>OR($C$20&lt;0.8,$C$20&gt;8.7)</formula>
    </cfRule>
  </conditionalFormatting>
  <conditionalFormatting sqref="G31:K31">
    <cfRule type="expression" dxfId="31" priority="15">
      <formula>OR($C$32&lt;8,$C$32&gt;25)</formula>
    </cfRule>
  </conditionalFormatting>
  <conditionalFormatting sqref="G32:K32 G35:K35">
    <cfRule type="expression" dxfId="30" priority="16">
      <formula>OR($C$32&lt;4,$C$32&gt;10)</formula>
    </cfRule>
  </conditionalFormatting>
  <conditionalFormatting sqref="G33:K34">
    <cfRule type="expression" dxfId="29" priority="7">
      <formula>OR($C$32&lt;5,$C$32&gt;18)</formula>
    </cfRule>
  </conditionalFormatting>
  <conditionalFormatting sqref="G38:K39">
    <cfRule type="expression" dxfId="28" priority="17">
      <formula>OR($C$32&lt;8,$C$32&gt;30)</formula>
    </cfRule>
  </conditionalFormatting>
  <conditionalFormatting sqref="G40:K42">
    <cfRule type="expression" dxfId="27" priority="18">
      <formula>OR($C$32&lt;6,$C$32&gt;34)</formula>
    </cfRule>
  </conditionalFormatting>
  <conditionalFormatting sqref="G43:K43">
    <cfRule type="expression" dxfId="26" priority="19">
      <formula>OR($C$32&lt;9,$C$32&gt;29)</formula>
    </cfRule>
  </conditionalFormatting>
  <conditionalFormatting sqref="G53:K53">
    <cfRule type="expression" dxfId="25" priority="8">
      <formula>OR($C$3&lt;80,$C$3&gt;2000)</formula>
    </cfRule>
  </conditionalFormatting>
  <conditionalFormatting sqref="G54:K54">
    <cfRule type="expression" dxfId="24" priority="20">
      <formula>OR($C$3&lt;80,$C$3&gt;1400)</formula>
    </cfRule>
  </conditionalFormatting>
  <conditionalFormatting sqref="G55:K55">
    <cfRule type="expression" dxfId="23" priority="21">
      <formula>OR($C$3&lt;80,$C$3&gt;400)</formula>
    </cfRule>
  </conditionalFormatting>
  <conditionalFormatting sqref="G56:K56 K57">
    <cfRule type="expression" dxfId="22" priority="9">
      <formula>OR($C$3&lt;80,$C$3&gt;2500)</formula>
    </cfRule>
  </conditionalFormatting>
  <conditionalFormatting sqref="G58:K59">
    <cfRule type="expression" dxfId="21" priority="6">
      <formula>OR($C$57/$C58&lt;0.4,$C$57/$C58&gt;3)</formula>
    </cfRule>
  </conditionalFormatting>
  <conditionalFormatting sqref="G60:K60">
    <cfRule type="expression" dxfId="20" priority="2">
      <formula>OR($C$57&lt;1,$C$57&gt;50)</formula>
    </cfRule>
  </conditionalFormatting>
  <conditionalFormatting sqref="G61:K64">
    <cfRule type="expression" dxfId="19" priority="11">
      <formula>OR($C$57&lt;5,$C$57&gt;50)</formula>
    </cfRule>
  </conditionalFormatting>
  <conditionalFormatting sqref="G68:K68">
    <cfRule type="expression" dxfId="18" priority="31">
      <formula>OR($C$68&lt;1,$C$68&gt;19000)</formula>
    </cfRule>
  </conditionalFormatting>
  <conditionalFormatting sqref="G69:K69">
    <cfRule type="expression" dxfId="17" priority="32">
      <formula>OR($C$68&lt;10,$C$68&gt;9000)</formula>
    </cfRule>
  </conditionalFormatting>
  <conditionalFormatting sqref="G70:K70">
    <cfRule type="expression" dxfId="16" priority="33">
      <formula>OR($C$68&lt;10,$C$68&gt;4000)</formula>
    </cfRule>
  </conditionalFormatting>
  <conditionalFormatting sqref="G71:K71">
    <cfRule type="expression" dxfId="15" priority="34">
      <formula>OR($C$68&lt;1,$C$68&gt;1000)</formula>
    </cfRule>
  </conditionalFormatting>
  <conditionalFormatting sqref="G72:K72">
    <cfRule type="expression" dxfId="14" priority="35">
      <formula>OR($C$68&lt;1,$C$68&gt;100)</formula>
    </cfRule>
  </conditionalFormatting>
  <conditionalFormatting sqref="G76:K76">
    <cfRule type="expression" dxfId="13" priority="22">
      <formula>OR($C$3&lt;100,$C$3&gt;2500)</formula>
    </cfRule>
  </conditionalFormatting>
  <conditionalFormatting sqref="G77:K78">
    <cfRule type="expression" dxfId="12" priority="13">
      <formula>OR($C$3&lt;100,$C$3&gt;2300)</formula>
    </cfRule>
  </conditionalFormatting>
  <conditionalFormatting sqref="G79:K79">
    <cfRule type="expression" dxfId="11" priority="23">
      <formula>OR($C$3&lt;130,$C$3&gt;400)</formula>
    </cfRule>
  </conditionalFormatting>
  <conditionalFormatting sqref="G80:K80">
    <cfRule type="expression" dxfId="10" priority="24">
      <formula>OR($C$3&lt;100,$C$3&gt;800)</formula>
    </cfRule>
  </conditionalFormatting>
  <conditionalFormatting sqref="G81:K82">
    <cfRule type="expression" dxfId="9" priority="12">
      <formula>OR($C$3&lt;100,$C$3&gt;1900)</formula>
    </cfRule>
  </conditionalFormatting>
  <conditionalFormatting sqref="G83:K83">
    <cfRule type="expression" dxfId="8" priority="25">
      <formula>OR($C$3&lt;100,$C$3&gt;400)</formula>
    </cfRule>
  </conditionalFormatting>
  <conditionalFormatting sqref="G87:K87">
    <cfRule type="expression" dxfId="7" priority="5">
      <formula>OR($C$87&lt;3,$C$87&gt;40)</formula>
    </cfRule>
  </conditionalFormatting>
  <conditionalFormatting sqref="G89:K89">
    <cfRule type="expression" dxfId="6" priority="4">
      <formula>OR($C$89&lt;3,$C$89&gt;40)</formula>
    </cfRule>
  </conditionalFormatting>
  <conditionalFormatting sqref="G93:K93 G96:K96">
    <cfRule type="expression" dxfId="5" priority="26">
      <formula>OR($C$3&lt;80,$C$3&gt;2500)</formula>
    </cfRule>
  </conditionalFormatting>
  <conditionalFormatting sqref="G95:K95">
    <cfRule type="expression" dxfId="4" priority="27">
      <formula>OR($C$3&lt;80,$C$3&gt;1800)</formula>
    </cfRule>
  </conditionalFormatting>
  <conditionalFormatting sqref="G107:K107">
    <cfRule type="expression" dxfId="3" priority="28">
      <formula>OR($C$3&lt;50,$C$3&gt;2500)</formula>
    </cfRule>
  </conditionalFormatting>
  <conditionalFormatting sqref="G108:K108">
    <cfRule type="expression" dxfId="2" priority="37">
      <formula>OR($C$4&lt;1,$C$4&gt;8)</formula>
    </cfRule>
  </conditionalFormatting>
  <conditionalFormatting sqref="G109:K109">
    <cfRule type="expression" dxfId="1" priority="38">
      <formula>OR($C$4&lt;3,$C$4&gt;8)</formula>
    </cfRule>
  </conditionalFormatting>
  <conditionalFormatting sqref="G110:K110">
    <cfRule type="expression" dxfId="0" priority="36">
      <formula>OR($C$3&lt;50,$C$3&gt;2500)</formula>
    </cfRule>
  </conditionalFormatting>
  <dataValidations count="11">
    <dataValidation type="decimal" allowBlank="1" showInputMessage="1" showErrorMessage="1" sqref="C68" xr:uid="{00000000-0002-0000-0100-000000000000}">
      <formula1>1</formula1>
      <formula2>19000</formula2>
    </dataValidation>
    <dataValidation type="decimal" operator="greaterThan" allowBlank="1" showInputMessage="1" showErrorMessage="1" sqref="C3:D3 C20:C21 C25 C27 C31:C32 C44 C46 C76 C80 C87:C89" xr:uid="{00000000-0002-0000-0100-000001000000}">
      <formula1>0</formula1>
      <formula2>0</formula2>
    </dataValidation>
    <dataValidation type="decimal" allowBlank="1" showInputMessage="1" showErrorMessage="1" sqref="C33" xr:uid="{00000000-0002-0000-0100-000002000000}">
      <formula1>0.001</formula1>
      <formula2>0.1</formula2>
    </dataValidation>
    <dataValidation type="whole" operator="greaterThan" allowBlank="1" showInputMessage="1" showErrorMessage="1" sqref="C4:D4 C58 C97" xr:uid="{00000000-0002-0000-0100-000003000000}">
      <formula1>0</formula1>
      <formula2>0</formula2>
    </dataValidation>
    <dataValidation type="decimal" operator="greaterThanOrEqual" allowBlank="1" showInputMessage="1" showErrorMessage="1" sqref="C6:D7" xr:uid="{00000000-0002-0000-0100-000004000000}">
      <formula1>0</formula1>
      <formula2>0</formula2>
    </dataValidation>
    <dataValidation type="decimal" allowBlank="1" showErrorMessage="1" sqref="C62" xr:uid="{00000000-0002-0000-0100-000006000000}">
      <formula1>10</formula1>
      <formula2>40</formula2>
    </dataValidation>
    <dataValidation type="decimal" allowBlank="1" showErrorMessage="1" sqref="C63" xr:uid="{00000000-0002-0000-0100-000007000000}">
      <formula1>30</formula1>
      <formula2>100</formula2>
    </dataValidation>
    <dataValidation type="decimal" allowBlank="1" showInputMessage="1" showErrorMessage="1" sqref="C64" xr:uid="{461669BE-2EDC-49B2-8711-44E01D927E31}">
      <formula1>0</formula1>
      <formula2>200</formula2>
    </dataValidation>
    <dataValidation type="whole" operator="greaterThan" allowBlank="1" showInputMessage="1" showErrorMessage="1" sqref="C59 C60" xr:uid="{EFAE3320-AC61-4954-88A8-2B250377A589}">
      <formula1>1</formula1>
    </dataValidation>
    <dataValidation type="decimal" operator="greaterThan" allowBlank="1" showInputMessage="1" showErrorMessage="1" sqref="C57" xr:uid="{076D6BC5-BE4E-40B8-B5C4-A0C0BB3924CC}">
      <formula1>0</formula1>
    </dataValidation>
    <dataValidation type="whole" operator="greaterThan" allowBlank="1" showInputMessage="1" showErrorMessage="1" sqref="C98 C101" xr:uid="{D958D5B1-E7B1-4C24-A031-CC13914FDAA8}">
      <formula1>0</formula1>
    </dataValidation>
  </dataValidations>
  <hyperlinks>
    <hyperlink ref="D11" r:id="rId1" xr:uid="{00000000-0004-0000-0100-000000000000}"/>
    <hyperlink ref="D13" r:id="rId2" xr:uid="{00000000-0004-0000-0100-000001000000}"/>
  </hyperlinks>
  <pageMargins left="0.7" right="0.7" top="0.78749999999999998" bottom="0.78749999999999998" header="0.511811023622047" footer="0.511811023622047"/>
  <pageSetup paperSize="9" orientation="portrait" horizontalDpi="300" verticalDpi="300"/>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17C50DFD-0CA5-424A-9FB9-0D42B0E4C4CE}">
          <x14:formula1>
            <xm:f>Daten!$C$171:$C$172</xm:f>
          </x14:formula1>
          <xm:sqref>I30 I19</xm:sqref>
        </x14:dataValidation>
        <x14:dataValidation type="list" allowBlank="1" showInputMessage="1" showErrorMessage="1" xr:uid="{C641361F-3E37-466B-BB28-CCBA5AC7B9AF}">
          <x14:formula1>
            <xm:f>Daten!$C$170:$C$171</xm:f>
          </x14:formula1>
          <xm:sqref>I57</xm:sqref>
        </x14:dataValidation>
        <x14:dataValidation type="list" operator="equal" showErrorMessage="1" xr:uid="{6FD4D065-28F7-4287-80CC-23BE3D3E79D6}">
          <x14:formula1>
            <xm:f>Daten!$A$170:$A$200</xm:f>
          </x14:formula1>
          <xm:sqref>C5:D5</xm:sqref>
        </x14:dataValidation>
        <x14:dataValidation type="list" allowBlank="1" showInputMessage="1" showErrorMessage="1" xr:uid="{5E6CF189-073B-4636-A07B-BAF7C90EC3EA}">
          <x14:formula1>
            <xm:f>Daten!$C$173:$C$174</xm:f>
          </x14:formula1>
          <xm:sqref>I99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J213"/>
  <sheetViews>
    <sheetView zoomScaleNormal="100" workbookViewId="0">
      <selection activeCell="S206" sqref="S206"/>
    </sheetView>
  </sheetViews>
  <sheetFormatPr baseColWidth="10" defaultColWidth="10.5703125" defaultRowHeight="15" x14ac:dyDescent="0.25"/>
  <cols>
    <col min="1" max="1" width="52.7109375" style="10" customWidth="1"/>
    <col min="2" max="3" width="15.28515625" style="10" customWidth="1"/>
    <col min="4" max="4" width="10.5703125" style="10"/>
    <col min="5" max="5" width="12" style="10" bestFit="1" customWidth="1"/>
    <col min="6" max="40" width="11.140625" style="10" customWidth="1"/>
    <col min="41" max="1024" width="10.5703125" style="10"/>
  </cols>
  <sheetData>
    <row r="1" spans="1:20" ht="15" customHeight="1" x14ac:dyDescent="0.25">
      <c r="A1" s="201" t="s">
        <v>191</v>
      </c>
      <c r="B1" s="201"/>
      <c r="C1" s="201"/>
      <c r="D1" s="201"/>
      <c r="E1" s="201"/>
      <c r="F1" s="201"/>
      <c r="G1" s="201"/>
      <c r="H1" s="201"/>
      <c r="I1" s="201"/>
      <c r="J1" s="201"/>
      <c r="K1" s="201"/>
      <c r="L1" s="201"/>
      <c r="M1" s="201"/>
      <c r="N1" s="201"/>
      <c r="O1" s="201"/>
      <c r="P1" s="201"/>
      <c r="Q1" s="201"/>
      <c r="R1" s="201"/>
      <c r="S1" s="201"/>
      <c r="T1" s="201"/>
    </row>
    <row r="2" spans="1:20" ht="15" customHeight="1" x14ac:dyDescent="0.25">
      <c r="A2" s="10" t="s">
        <v>192</v>
      </c>
      <c r="B2" s="91"/>
      <c r="C2" s="91"/>
      <c r="D2" s="91"/>
      <c r="E2" s="91"/>
      <c r="F2" s="91"/>
      <c r="G2" s="91"/>
      <c r="H2" s="91"/>
      <c r="I2" s="91"/>
    </row>
    <row r="3" spans="1:20" ht="12.75" customHeight="1" x14ac:dyDescent="0.25">
      <c r="B3" s="91"/>
      <c r="C3" s="91"/>
      <c r="D3" s="91"/>
      <c r="E3" s="91"/>
      <c r="F3" s="91"/>
      <c r="G3" s="91"/>
      <c r="H3" s="91"/>
      <c r="I3" s="91"/>
    </row>
    <row r="4" spans="1:20" ht="15" customHeight="1" x14ac:dyDescent="0.25">
      <c r="B4" s="217" t="s">
        <v>193</v>
      </c>
      <c r="C4" s="217"/>
      <c r="D4" s="217" t="s">
        <v>193</v>
      </c>
      <c r="E4" s="217"/>
      <c r="F4" s="217" t="s">
        <v>194</v>
      </c>
      <c r="G4" s="217"/>
      <c r="H4" s="217" t="s">
        <v>195</v>
      </c>
      <c r="I4" s="217"/>
    </row>
    <row r="5" spans="1:20" ht="15" customHeight="1" x14ac:dyDescent="0.25">
      <c r="B5" s="20" t="s">
        <v>196</v>
      </c>
      <c r="C5" s="20" t="s">
        <v>197</v>
      </c>
      <c r="D5" s="20" t="s">
        <v>196</v>
      </c>
      <c r="E5" s="20" t="s">
        <v>197</v>
      </c>
      <c r="F5" s="20" t="s">
        <v>196</v>
      </c>
      <c r="G5" s="20" t="s">
        <v>197</v>
      </c>
      <c r="H5" s="20" t="s">
        <v>196</v>
      </c>
      <c r="I5" s="20" t="s">
        <v>197</v>
      </c>
      <c r="J5" s="95"/>
    </row>
    <row r="6" spans="1:20" ht="15" customHeight="1" x14ac:dyDescent="0.25">
      <c r="B6" s="20" t="s">
        <v>198</v>
      </c>
      <c r="C6" s="20" t="s">
        <v>199</v>
      </c>
      <c r="D6" s="20" t="s">
        <v>199</v>
      </c>
      <c r="E6" s="20" t="s">
        <v>200</v>
      </c>
      <c r="F6" s="20"/>
      <c r="G6" s="20"/>
      <c r="H6" s="20"/>
      <c r="I6" s="20"/>
    </row>
    <row r="7" spans="1:20" ht="15" customHeight="1" x14ac:dyDescent="0.25">
      <c r="B7" s="217" t="s">
        <v>201</v>
      </c>
      <c r="C7" s="217"/>
      <c r="D7" s="217" t="s">
        <v>202</v>
      </c>
      <c r="E7" s="217"/>
      <c r="F7" s="217" t="s">
        <v>201</v>
      </c>
      <c r="G7" s="217"/>
      <c r="H7" s="217" t="s">
        <v>202</v>
      </c>
      <c r="I7" s="217"/>
    </row>
    <row r="8" spans="1:20" ht="15" customHeight="1" x14ac:dyDescent="0.25">
      <c r="B8" s="96"/>
      <c r="C8" s="96"/>
      <c r="D8" s="96"/>
      <c r="E8" s="96"/>
      <c r="F8" s="96"/>
      <c r="G8" s="96"/>
      <c r="H8" s="96"/>
      <c r="I8" s="96"/>
    </row>
    <row r="9" spans="1:20" ht="15" customHeight="1" x14ac:dyDescent="0.25">
      <c r="A9" s="97" t="s">
        <v>203</v>
      </c>
      <c r="B9" s="214" t="s">
        <v>204</v>
      </c>
      <c r="C9" s="214"/>
      <c r="D9" s="98"/>
      <c r="E9" s="98"/>
      <c r="F9" s="98"/>
      <c r="G9" s="98"/>
      <c r="H9" s="98"/>
      <c r="I9" s="98"/>
    </row>
    <row r="10" spans="1:20" ht="15" customHeight="1" x14ac:dyDescent="0.25">
      <c r="A10" s="20" t="str">
        <f>Eingabe!F20</f>
        <v>3WSV, Dreh/Kipp, Passivhaus EFH&amp;MFH für F&amp;Ft</v>
      </c>
      <c r="B10" s="20" t="s">
        <v>66</v>
      </c>
      <c r="C10" s="20" t="s">
        <v>66</v>
      </c>
      <c r="D10" s="20">
        <v>658.86</v>
      </c>
      <c r="E10" s="20">
        <v>-0.25700000000000001</v>
      </c>
      <c r="F10" s="20">
        <v>613.63</v>
      </c>
      <c r="G10" s="20">
        <v>-0.25700000000000001</v>
      </c>
      <c r="H10" s="20">
        <v>707.44</v>
      </c>
      <c r="I10" s="20">
        <v>-0.25700000000000001</v>
      </c>
    </row>
    <row r="11" spans="1:20" ht="15" customHeight="1" x14ac:dyDescent="0.25">
      <c r="A11" s="20" t="str">
        <f>Eingabe!F21</f>
        <v>3WSV, Dreh/Kipp, H/K konv. EFH&amp;MFH für F&amp;Ft</v>
      </c>
      <c r="B11" s="20" t="s">
        <v>66</v>
      </c>
      <c r="C11" s="20" t="s">
        <v>66</v>
      </c>
      <c r="D11" s="20">
        <v>472.33</v>
      </c>
      <c r="E11" s="20">
        <v>-0.222</v>
      </c>
      <c r="F11" s="20">
        <v>448.83</v>
      </c>
      <c r="G11" s="20">
        <v>-0.222</v>
      </c>
      <c r="H11" s="20">
        <v>497.05</v>
      </c>
      <c r="I11" s="20">
        <v>-0.222</v>
      </c>
    </row>
    <row r="12" spans="1:20" ht="15" customHeight="1" x14ac:dyDescent="0.25">
      <c r="A12" s="20" t="str">
        <f>Eingabe!F22</f>
        <v>2WSV, Dreh/Kipp, H/K konv. EFH&amp;MFH für F&amp;Ft</v>
      </c>
      <c r="B12" s="20" t="s">
        <v>66</v>
      </c>
      <c r="C12" s="20" t="s">
        <v>66</v>
      </c>
      <c r="D12" s="20">
        <v>413.45</v>
      </c>
      <c r="E12" s="20">
        <v>-0.23100000000000001</v>
      </c>
      <c r="F12" s="20">
        <v>389.62</v>
      </c>
      <c r="G12" s="20">
        <v>-0.23100000000000001</v>
      </c>
      <c r="H12" s="20">
        <v>438.71</v>
      </c>
      <c r="I12" s="20">
        <v>-0.23100000000000001</v>
      </c>
    </row>
    <row r="13" spans="1:20" ht="15" customHeight="1" x14ac:dyDescent="0.25"/>
    <row r="14" spans="1:20" ht="15" customHeight="1" x14ac:dyDescent="0.25">
      <c r="A14" s="9" t="s">
        <v>205</v>
      </c>
      <c r="B14" s="214" t="s">
        <v>204</v>
      </c>
      <c r="C14" s="214"/>
    </row>
    <row r="15" spans="1:20" ht="15" customHeight="1" x14ac:dyDescent="0.25">
      <c r="A15" s="20" t="str">
        <f>Eingabe!F23</f>
        <v>Dachflächenfenster EFH pro Fenster</v>
      </c>
      <c r="B15" s="20" t="s">
        <v>66</v>
      </c>
      <c r="C15" s="20">
        <v>1430</v>
      </c>
    </row>
    <row r="16" spans="1:20" ht="15" customHeight="1" x14ac:dyDescent="0.25">
      <c r="A16" s="20" t="str">
        <f>Eingabe!F24</f>
        <v>Dachflächenfenster MFH pro Fenster</v>
      </c>
      <c r="B16" s="20" t="s">
        <v>66</v>
      </c>
      <c r="C16" s="20">
        <v>1435</v>
      </c>
    </row>
    <row r="17" spans="1:21" ht="15" customHeight="1" x14ac:dyDescent="0.25"/>
    <row r="18" spans="1:21" ht="15" customHeight="1" x14ac:dyDescent="0.25">
      <c r="A18" s="9" t="s">
        <v>206</v>
      </c>
      <c r="B18" s="214" t="s">
        <v>204</v>
      </c>
      <c r="C18" s="214"/>
    </row>
    <row r="19" spans="1:21" ht="15" customHeight="1" x14ac:dyDescent="0.25">
      <c r="A19" s="20" t="str">
        <f>Eingabe!F25</f>
        <v>Haustür EFH</v>
      </c>
      <c r="B19" s="20" t="s">
        <v>66</v>
      </c>
      <c r="C19" s="20">
        <v>1433</v>
      </c>
    </row>
    <row r="20" spans="1:21" ht="15" customHeight="1" x14ac:dyDescent="0.25">
      <c r="A20" s="20" t="str">
        <f>Eingabe!F26</f>
        <v>Haustür MFH</v>
      </c>
      <c r="B20" s="20" t="s">
        <v>66</v>
      </c>
      <c r="C20" s="20">
        <v>1222</v>
      </c>
    </row>
    <row r="21" spans="1:21" ht="15" customHeight="1" x14ac:dyDescent="0.25">
      <c r="D21" s="99" t="s">
        <v>207</v>
      </c>
      <c r="E21" s="20" t="s">
        <v>208</v>
      </c>
      <c r="F21" s="20" t="s">
        <v>209</v>
      </c>
    </row>
    <row r="22" spans="1:21" ht="15" customHeight="1" x14ac:dyDescent="0.25">
      <c r="A22" s="100" t="s">
        <v>74</v>
      </c>
      <c r="B22" s="20" t="s">
        <v>66</v>
      </c>
      <c r="C22" s="101">
        <f>D22/E22*100*F22</f>
        <v>502.57072409488137</v>
      </c>
      <c r="D22" s="102">
        <f>640+36.57</f>
        <v>676.57</v>
      </c>
      <c r="E22" s="20">
        <v>160.19999999999999</v>
      </c>
      <c r="F22" s="20">
        <v>1.19</v>
      </c>
      <c r="J22" s="215" t="s">
        <v>210</v>
      </c>
      <c r="K22" s="215"/>
      <c r="L22" s="215"/>
      <c r="M22" s="215"/>
      <c r="N22" s="215"/>
    </row>
    <row r="23" spans="1:21" ht="15" customHeight="1" x14ac:dyDescent="0.25">
      <c r="A23" s="103"/>
    </row>
    <row r="24" spans="1:21" ht="15" customHeight="1" x14ac:dyDescent="0.25">
      <c r="A24" s="9" t="s">
        <v>75</v>
      </c>
      <c r="B24" s="214" t="s">
        <v>204</v>
      </c>
      <c r="C24" s="214"/>
    </row>
    <row r="25" spans="1:21" ht="15" customHeight="1" x14ac:dyDescent="0.25">
      <c r="A25" s="20" t="str">
        <f>Eingabe!F31</f>
        <v>WDVS (zzgl. Gerüstkosten)</v>
      </c>
      <c r="B25" s="20">
        <v>2.81</v>
      </c>
      <c r="C25" s="20">
        <v>96.88</v>
      </c>
      <c r="D25" s="20" t="s">
        <v>66</v>
      </c>
      <c r="E25" s="20" t="s">
        <v>66</v>
      </c>
      <c r="F25" s="20">
        <v>2.81</v>
      </c>
      <c r="G25" s="20">
        <v>83.65</v>
      </c>
      <c r="H25" s="20">
        <v>2.81</v>
      </c>
      <c r="I25" s="20">
        <v>110.11</v>
      </c>
    </row>
    <row r="26" spans="1:21" ht="15" customHeight="1" x14ac:dyDescent="0.25">
      <c r="A26" s="20" t="s">
        <v>211</v>
      </c>
      <c r="B26" s="20">
        <v>2.81</v>
      </c>
      <c r="C26" s="20">
        <v>19.77</v>
      </c>
      <c r="D26" s="20" t="s">
        <v>66</v>
      </c>
      <c r="E26" s="20" t="s">
        <v>66</v>
      </c>
      <c r="F26" s="20">
        <v>2.81</v>
      </c>
      <c r="G26" s="20">
        <v>13.85</v>
      </c>
      <c r="H26" s="20">
        <v>2.81</v>
      </c>
      <c r="I26" s="20">
        <v>25.84</v>
      </c>
    </row>
    <row r="27" spans="1:21" ht="15" customHeight="1" x14ac:dyDescent="0.25">
      <c r="A27" s="20" t="str">
        <f>Eingabe!F32</f>
        <v>Außenwand - Kerndämmung</v>
      </c>
      <c r="B27" s="20">
        <v>1.65</v>
      </c>
      <c r="C27" s="20">
        <v>10.37</v>
      </c>
      <c r="D27" s="20" t="s">
        <v>66</v>
      </c>
      <c r="E27" s="20" t="s">
        <v>66</v>
      </c>
      <c r="F27" s="20">
        <v>1.65</v>
      </c>
      <c r="G27" s="20">
        <v>1.0900000000000001</v>
      </c>
      <c r="H27" s="20">
        <v>1.65</v>
      </c>
      <c r="I27" s="20">
        <v>19.66</v>
      </c>
    </row>
    <row r="28" spans="1:21" ht="15" customHeight="1" x14ac:dyDescent="0.25">
      <c r="A28" s="20" t="str">
        <f>Eingabe!F33</f>
        <v>Keller, unterseitig, ohne Bekleidung</v>
      </c>
      <c r="B28" s="20">
        <v>1.25</v>
      </c>
      <c r="C28" s="20">
        <v>30.75</v>
      </c>
      <c r="D28" s="20" t="s">
        <v>66</v>
      </c>
      <c r="E28" s="20" t="s">
        <v>66</v>
      </c>
      <c r="F28" s="20">
        <v>1.25</v>
      </c>
      <c r="G28" s="20">
        <v>27.75</v>
      </c>
      <c r="H28" s="20">
        <v>1.25</v>
      </c>
      <c r="I28" s="20">
        <v>33.75</v>
      </c>
    </row>
    <row r="29" spans="1:21" ht="15" customHeight="1" x14ac:dyDescent="0.25">
      <c r="A29" s="20" t="str">
        <f>Eingabe!F34</f>
        <v>Keller, unterseitig, mit Bekleidung</v>
      </c>
      <c r="B29" s="20">
        <v>1.55</v>
      </c>
      <c r="C29" s="20">
        <v>54.25</v>
      </c>
      <c r="D29" s="20" t="s">
        <v>66</v>
      </c>
      <c r="E29" s="20" t="s">
        <v>66</v>
      </c>
      <c r="F29" s="20">
        <v>1.55</v>
      </c>
      <c r="G29" s="20">
        <v>49.2</v>
      </c>
      <c r="H29" s="20">
        <v>1.55</v>
      </c>
      <c r="I29" s="20">
        <v>59.3</v>
      </c>
    </row>
    <row r="30" spans="1:21" ht="15" customHeight="1" x14ac:dyDescent="0.25">
      <c r="A30" s="20" t="str">
        <f>Eingabe!F35</f>
        <v>Keller, oberseitig, Einblasen zwischen die Dielen</v>
      </c>
      <c r="B30" s="20">
        <v>1.62</v>
      </c>
      <c r="C30" s="20">
        <v>8.9600000000000009</v>
      </c>
      <c r="D30" s="20" t="s">
        <v>66</v>
      </c>
      <c r="E30" s="20" t="s">
        <v>66</v>
      </c>
      <c r="F30" s="20">
        <v>1.62</v>
      </c>
      <c r="G30" s="20">
        <v>-6.14</v>
      </c>
      <c r="H30" s="20">
        <v>1.62</v>
      </c>
      <c r="I30" s="20">
        <v>24.07</v>
      </c>
    </row>
    <row r="31" spans="1:21" ht="15" customHeight="1" x14ac:dyDescent="0.25">
      <c r="A31" s="10" t="s">
        <v>91</v>
      </c>
      <c r="B31" s="20">
        <v>1.04</v>
      </c>
      <c r="C31" s="104">
        <f>(18+17+10)*110.6/99.2</f>
        <v>50.171370967741936</v>
      </c>
      <c r="D31" s="20" t="s">
        <v>66</v>
      </c>
      <c r="E31" s="20" t="s">
        <v>66</v>
      </c>
      <c r="F31" s="20" t="s">
        <v>66</v>
      </c>
      <c r="G31" s="20" t="s">
        <v>66</v>
      </c>
      <c r="H31" s="20" t="s">
        <v>66</v>
      </c>
      <c r="I31" s="20" t="s">
        <v>66</v>
      </c>
      <c r="J31" s="216" t="s">
        <v>212</v>
      </c>
      <c r="K31" s="216"/>
      <c r="L31" s="216"/>
      <c r="M31" s="216"/>
      <c r="N31" s="216"/>
      <c r="O31" s="216"/>
      <c r="P31" s="216"/>
      <c r="Q31" s="216"/>
      <c r="R31" s="216"/>
      <c r="S31" s="216"/>
      <c r="T31" s="216"/>
      <c r="U31" s="216"/>
    </row>
    <row r="32" spans="1:21" ht="15" customHeight="1" x14ac:dyDescent="0.25">
      <c r="A32" s="20" t="str">
        <f>Eingabe!F38</f>
        <v>oberste Geschossdecke, begehbar</v>
      </c>
      <c r="B32" s="20">
        <v>1.78</v>
      </c>
      <c r="C32" s="20">
        <v>28.03</v>
      </c>
      <c r="D32" s="20" t="s">
        <v>66</v>
      </c>
      <c r="E32" s="20" t="s">
        <v>66</v>
      </c>
      <c r="F32" s="20">
        <v>1.78</v>
      </c>
      <c r="G32" s="20">
        <v>17.39</v>
      </c>
      <c r="H32" s="20">
        <v>1.78</v>
      </c>
      <c r="I32" s="20">
        <v>38.67</v>
      </c>
    </row>
    <row r="33" spans="1:9" ht="15" customHeight="1" x14ac:dyDescent="0.25">
      <c r="A33" s="20" t="str">
        <f>Eingabe!F39</f>
        <v>oberste Geschossdecke, nicht begehbar</v>
      </c>
      <c r="B33" s="20">
        <v>1.06</v>
      </c>
      <c r="C33" s="20">
        <v>3.72</v>
      </c>
      <c r="D33" s="20" t="s">
        <v>66</v>
      </c>
      <c r="E33" s="20" t="s">
        <v>66</v>
      </c>
      <c r="F33" s="20">
        <v>1.06</v>
      </c>
      <c r="G33" s="20">
        <v>2.31</v>
      </c>
      <c r="H33" s="20">
        <v>1.06</v>
      </c>
      <c r="I33" s="20">
        <v>5.13</v>
      </c>
    </row>
    <row r="34" spans="1:9" ht="15" customHeight="1" x14ac:dyDescent="0.25">
      <c r="A34" s="20" t="str">
        <f>Eingabe!F40</f>
        <v>Flachdach ohne Lichtkuppeln</v>
      </c>
      <c r="B34" s="20">
        <v>4.1100000000000003</v>
      </c>
      <c r="C34" s="20">
        <v>104.14</v>
      </c>
      <c r="D34" s="20" t="s">
        <v>66</v>
      </c>
      <c r="E34" s="20" t="s">
        <v>66</v>
      </c>
      <c r="F34" s="20">
        <v>4.1100000000000003</v>
      </c>
      <c r="G34" s="20">
        <v>74.459999999999994</v>
      </c>
      <c r="H34" s="20">
        <v>4.1100000000000003</v>
      </c>
      <c r="I34" s="20">
        <v>133.82</v>
      </c>
    </row>
    <row r="35" spans="1:9" ht="15" customHeight="1" x14ac:dyDescent="0.25">
      <c r="A35" s="20" t="str">
        <f>Eingabe!F41</f>
        <v>Flachdach mit Lichtkuppeln EFH</v>
      </c>
      <c r="B35" s="20">
        <v>4.1100000000000003</v>
      </c>
      <c r="C35" s="20">
        <v>118.16</v>
      </c>
      <c r="D35" s="20" t="s">
        <v>66</v>
      </c>
      <c r="E35" s="20" t="s">
        <v>66</v>
      </c>
      <c r="F35" s="20">
        <v>4.1100000000000003</v>
      </c>
      <c r="G35" s="20">
        <v>88.47</v>
      </c>
      <c r="H35" s="20">
        <v>4.1100000000000003</v>
      </c>
      <c r="I35" s="20">
        <v>147.84</v>
      </c>
    </row>
    <row r="36" spans="1:9" ht="15" customHeight="1" x14ac:dyDescent="0.25">
      <c r="A36" s="20" t="str">
        <f>Eingabe!F42</f>
        <v>Flachdach mit Lichtkuppel MFH</v>
      </c>
      <c r="B36" s="20">
        <v>4.1100000000000003</v>
      </c>
      <c r="C36" s="20">
        <v>113.16</v>
      </c>
      <c r="D36" s="20" t="s">
        <v>66</v>
      </c>
      <c r="E36" s="20" t="s">
        <v>66</v>
      </c>
      <c r="F36" s="20">
        <v>4.1100000000000003</v>
      </c>
      <c r="G36" s="20">
        <v>83.48</v>
      </c>
      <c r="H36" s="20">
        <v>4.1100000000000003</v>
      </c>
      <c r="I36" s="20">
        <v>142.85</v>
      </c>
    </row>
    <row r="37" spans="1:9" ht="15" customHeight="1" x14ac:dyDescent="0.25">
      <c r="A37" s="20" t="s">
        <v>213</v>
      </c>
      <c r="B37" s="20">
        <v>2.9</v>
      </c>
      <c r="C37" s="20">
        <v>21.66</v>
      </c>
      <c r="D37" s="20" t="s">
        <v>66</v>
      </c>
      <c r="E37" s="20" t="s">
        <v>66</v>
      </c>
      <c r="F37" s="20">
        <v>2.9</v>
      </c>
      <c r="G37" s="20">
        <v>7.08</v>
      </c>
      <c r="H37" s="20">
        <v>2.9</v>
      </c>
      <c r="I37" s="20">
        <v>32.89</v>
      </c>
    </row>
    <row r="38" spans="1:9" ht="15" customHeight="1" x14ac:dyDescent="0.25">
      <c r="A38" s="20" t="str">
        <f>Eingabe!F43</f>
        <v>Steildach</v>
      </c>
      <c r="B38" s="20">
        <v>2.77</v>
      </c>
      <c r="C38" s="20">
        <v>151.01</v>
      </c>
      <c r="D38" s="20" t="s">
        <v>66</v>
      </c>
      <c r="E38" s="20" t="s">
        <v>66</v>
      </c>
      <c r="F38" s="20">
        <v>2.77</v>
      </c>
      <c r="G38" s="20">
        <v>123.78</v>
      </c>
      <c r="H38" s="20">
        <v>2.77</v>
      </c>
      <c r="I38" s="20">
        <v>178.25</v>
      </c>
    </row>
    <row r="39" spans="1:9" ht="15" customHeight="1" x14ac:dyDescent="0.25">
      <c r="A39" s="20" t="s">
        <v>214</v>
      </c>
      <c r="B39" s="20">
        <v>2.37</v>
      </c>
      <c r="C39" s="20">
        <v>11.31</v>
      </c>
      <c r="D39" s="20" t="s">
        <v>66</v>
      </c>
      <c r="E39" s="20" t="s">
        <v>66</v>
      </c>
      <c r="F39" s="20">
        <v>2.37</v>
      </c>
      <c r="G39" s="20">
        <v>3.47</v>
      </c>
      <c r="H39" s="20">
        <v>2.37</v>
      </c>
      <c r="I39" s="20">
        <v>18.079999999999998</v>
      </c>
    </row>
    <row r="40" spans="1:9" ht="15" customHeight="1" x14ac:dyDescent="0.25">
      <c r="A40" s="20" t="str">
        <f>Eingabe!F44</f>
        <v>Steildachgauben im EFH ohne Fenster</v>
      </c>
      <c r="B40" s="20" t="s">
        <v>66</v>
      </c>
      <c r="C40" s="20">
        <v>473</v>
      </c>
      <c r="D40" s="20"/>
      <c r="E40" s="20"/>
      <c r="F40" s="20"/>
      <c r="G40" s="20"/>
      <c r="H40" s="20"/>
      <c r="I40" s="20"/>
    </row>
    <row r="41" spans="1:9" ht="15" customHeight="1" x14ac:dyDescent="0.25">
      <c r="A41" s="20" t="str">
        <f>Eingabe!F45</f>
        <v>Steildachgauben im MFH ohne Fenster</v>
      </c>
      <c r="B41" s="20" t="s">
        <v>66</v>
      </c>
      <c r="C41" s="20">
        <v>350</v>
      </c>
      <c r="D41" s="20"/>
      <c r="E41" s="20"/>
      <c r="F41" s="20"/>
      <c r="G41" s="20"/>
      <c r="H41" s="20"/>
      <c r="I41" s="20"/>
    </row>
    <row r="42" spans="1:9" ht="15" customHeight="1" x14ac:dyDescent="0.25">
      <c r="A42" s="105" t="str">
        <f>Eingabe!F46</f>
        <v>Vorbaurollladen, Kunststoff, Gurt</v>
      </c>
      <c r="B42" s="20" t="s">
        <v>66</v>
      </c>
      <c r="C42" s="20">
        <v>141</v>
      </c>
      <c r="D42" s="20"/>
      <c r="E42" s="20"/>
      <c r="F42" s="20"/>
      <c r="G42" s="20"/>
      <c r="H42" s="20"/>
      <c r="I42" s="20"/>
    </row>
    <row r="43" spans="1:9" ht="15" customHeight="1" x14ac:dyDescent="0.25">
      <c r="A43" s="105" t="str">
        <f>Eingabe!F47</f>
        <v>Vorbaurollladen, Kunststoff, Elektro</v>
      </c>
      <c r="B43" s="20" t="s">
        <v>66</v>
      </c>
      <c r="C43" s="20">
        <v>197</v>
      </c>
      <c r="D43" s="20"/>
      <c r="E43" s="20"/>
      <c r="F43" s="20"/>
      <c r="G43" s="20"/>
      <c r="H43" s="20"/>
      <c r="I43" s="20"/>
    </row>
    <row r="44" spans="1:9" ht="15" customHeight="1" x14ac:dyDescent="0.25">
      <c r="A44" s="105" t="str">
        <f>Eingabe!F48</f>
        <v>Vorbaurollladen, Alu, Gurt</v>
      </c>
      <c r="B44" s="20" t="s">
        <v>66</v>
      </c>
      <c r="C44" s="20">
        <v>182</v>
      </c>
      <c r="D44" s="20"/>
      <c r="E44" s="20"/>
      <c r="F44" s="20"/>
      <c r="G44" s="20"/>
      <c r="H44" s="20"/>
      <c r="I44" s="20"/>
    </row>
    <row r="45" spans="1:9" ht="15" customHeight="1" x14ac:dyDescent="0.25">
      <c r="A45" s="20" t="str">
        <f>Eingabe!F49</f>
        <v>Vorbaurollladen, Alu, Elektro</v>
      </c>
      <c r="B45" s="20" t="s">
        <v>66</v>
      </c>
      <c r="C45" s="20">
        <v>271</v>
      </c>
      <c r="D45" s="20"/>
      <c r="E45" s="20"/>
      <c r="F45" s="20"/>
      <c r="G45" s="20"/>
      <c r="H45" s="20"/>
      <c r="I45" s="20"/>
    </row>
    <row r="46" spans="1:9" ht="15" customHeight="1" x14ac:dyDescent="0.25">
      <c r="D46" s="106"/>
      <c r="I46" s="107"/>
    </row>
    <row r="47" spans="1:9" ht="15" customHeight="1" x14ac:dyDescent="0.25">
      <c r="A47" s="97" t="s">
        <v>110</v>
      </c>
      <c r="B47" s="214" t="s">
        <v>215</v>
      </c>
      <c r="C47" s="214"/>
      <c r="D47" s="108"/>
      <c r="E47" s="108"/>
      <c r="F47" s="108"/>
      <c r="G47" s="108"/>
      <c r="H47" s="108"/>
      <c r="I47" s="108"/>
    </row>
    <row r="48" spans="1:9" ht="15" customHeight="1" x14ac:dyDescent="0.25">
      <c r="A48" s="20" t="str">
        <f>Eingabe!F53</f>
        <v>Gaskessel als Einzelmaßnahme</v>
      </c>
      <c r="B48" s="20" t="s">
        <v>66</v>
      </c>
      <c r="C48" s="20" t="s">
        <v>66</v>
      </c>
      <c r="D48" s="109">
        <v>905.26</v>
      </c>
      <c r="E48" s="20">
        <v>-0.51800000000000002</v>
      </c>
      <c r="F48" s="20">
        <v>580.03</v>
      </c>
      <c r="G48" s="20">
        <v>-0.51800000000000002</v>
      </c>
      <c r="H48" s="109">
        <v>1412.87</v>
      </c>
      <c r="I48" s="20">
        <v>-0.51800000000000002</v>
      </c>
    </row>
    <row r="49" spans="1:20" ht="15" customHeight="1" x14ac:dyDescent="0.25">
      <c r="A49" s="20" t="s">
        <v>216</v>
      </c>
      <c r="B49" s="20" t="s">
        <v>66</v>
      </c>
      <c r="C49" s="20" t="s">
        <v>66</v>
      </c>
      <c r="D49" s="109">
        <v>1202.5999999999999</v>
      </c>
      <c r="E49" s="20">
        <v>-0.53600000000000003</v>
      </c>
      <c r="F49" s="20">
        <v>598.65</v>
      </c>
      <c r="G49" s="20">
        <v>-0.53600000000000003</v>
      </c>
      <c r="H49" s="109">
        <v>2415.9699999999998</v>
      </c>
      <c r="I49" s="20">
        <v>-0.53600000000000003</v>
      </c>
    </row>
    <row r="50" spans="1:20" ht="15" customHeight="1" x14ac:dyDescent="0.25">
      <c r="A50" s="20" t="s">
        <v>217</v>
      </c>
      <c r="B50" s="20" t="s">
        <v>66</v>
      </c>
      <c r="C50" s="20" t="s">
        <v>66</v>
      </c>
      <c r="D50" s="20">
        <v>887.75</v>
      </c>
      <c r="E50" s="20">
        <v>-0.50600000000000001</v>
      </c>
      <c r="F50" s="20">
        <v>602.30999999999995</v>
      </c>
      <c r="G50" s="20">
        <v>-0.50600000000000001</v>
      </c>
      <c r="H50" s="109">
        <v>1308.47</v>
      </c>
      <c r="I50" s="20">
        <v>-0.50600000000000001</v>
      </c>
    </row>
    <row r="51" spans="1:20" ht="15" customHeight="1" x14ac:dyDescent="0.25">
      <c r="A51" s="20" t="str">
        <f>Eingabe!F55</f>
        <v>Pelletkessel als Einzelmaßnahme</v>
      </c>
      <c r="B51" s="20" t="s">
        <v>66</v>
      </c>
      <c r="C51" s="20" t="s">
        <v>66</v>
      </c>
      <c r="D51" s="20">
        <v>2531.4</v>
      </c>
      <c r="E51" s="20">
        <v>-0.58699999999999997</v>
      </c>
      <c r="F51" s="109">
        <v>1966.7</v>
      </c>
      <c r="G51" s="20">
        <v>-0.58699999999999997</v>
      </c>
      <c r="H51" s="109">
        <v>3258.3</v>
      </c>
      <c r="I51" s="20">
        <v>-0.58699999999999997</v>
      </c>
    </row>
    <row r="52" spans="1:20" ht="15" customHeight="1" x14ac:dyDescent="0.25">
      <c r="A52" s="20" t="str">
        <f>Eingabe!F56</f>
        <v>Fernwärme als Einzelmaßnahme</v>
      </c>
      <c r="B52" s="20" t="s">
        <v>66</v>
      </c>
      <c r="C52" s="20" t="s">
        <v>66</v>
      </c>
      <c r="D52" s="109">
        <v>662.91</v>
      </c>
      <c r="E52" s="20">
        <v>-0.48699999999999999</v>
      </c>
      <c r="F52" s="20">
        <v>449.82</v>
      </c>
      <c r="G52" s="20">
        <v>-0.48699999999999999</v>
      </c>
      <c r="H52" s="20">
        <v>976.95</v>
      </c>
      <c r="I52" s="20">
        <v>-0.48699999999999999</v>
      </c>
    </row>
    <row r="53" spans="1:20" ht="15" customHeight="1" x14ac:dyDescent="0.25">
      <c r="A53" s="20"/>
      <c r="B53" s="20"/>
      <c r="C53" s="20"/>
      <c r="D53" s="109"/>
      <c r="E53" s="20"/>
      <c r="F53" s="20"/>
      <c r="G53" s="20"/>
      <c r="H53" s="20"/>
      <c r="I53" s="20"/>
    </row>
    <row r="54" spans="1:20" ht="15" customHeight="1" x14ac:dyDescent="0.25">
      <c r="A54" s="20" t="str">
        <f>Eingabe!F58</f>
        <v>Elektro-Direktheizgeräte nach Heizlast</v>
      </c>
      <c r="B54" s="20">
        <v>162.94999999999999</v>
      </c>
      <c r="C54" s="20">
        <v>0</v>
      </c>
      <c r="D54" s="109"/>
      <c r="E54" s="20"/>
      <c r="F54" s="20"/>
      <c r="G54" s="20"/>
      <c r="H54" s="20"/>
      <c r="I54" s="20"/>
      <c r="J54" s="10" t="s">
        <v>218</v>
      </c>
      <c r="L54" s="10" t="s">
        <v>219</v>
      </c>
    </row>
    <row r="55" spans="1:20" ht="15" customHeight="1" x14ac:dyDescent="0.25">
      <c r="A55" s="20" t="str">
        <f>Eingabe!F59</f>
        <v>Elektro-Speicherheizung nach Heizlast</v>
      </c>
      <c r="B55" s="20">
        <v>261.51</v>
      </c>
      <c r="C55" s="20">
        <v>0</v>
      </c>
      <c r="D55" s="109"/>
      <c r="E55" s="20"/>
      <c r="F55" s="20"/>
      <c r="G55" s="20"/>
      <c r="H55" s="20"/>
      <c r="I55" s="20"/>
      <c r="J55" s="10" t="s">
        <v>220</v>
      </c>
    </row>
    <row r="56" spans="1:20" ht="15" customHeight="1" x14ac:dyDescent="0.25">
      <c r="D56" s="106"/>
      <c r="I56" s="107"/>
    </row>
    <row r="57" spans="1:20" ht="15" customHeight="1" x14ac:dyDescent="0.25">
      <c r="A57" s="10" t="s">
        <v>350</v>
      </c>
      <c r="B57" s="201" t="s">
        <v>310</v>
      </c>
      <c r="C57" s="201"/>
      <c r="D57" s="106"/>
      <c r="E57" s="201" t="s">
        <v>311</v>
      </c>
      <c r="F57" s="201"/>
      <c r="I57" s="107"/>
      <c r="J57" s="198" t="s">
        <v>309</v>
      </c>
      <c r="K57" s="198"/>
      <c r="L57" s="198"/>
      <c r="M57" s="198"/>
      <c r="N57" s="198"/>
      <c r="O57" s="198"/>
      <c r="P57" s="198"/>
      <c r="Q57" s="198"/>
      <c r="R57" s="198"/>
      <c r="S57" s="198"/>
      <c r="T57" s="198"/>
    </row>
    <row r="58" spans="1:20" ht="15" customHeight="1" x14ac:dyDescent="0.25">
      <c r="A58" s="14" t="s">
        <v>348</v>
      </c>
      <c r="B58" s="168">
        <f>20+(25+60)/2+(5+15)/2</f>
        <v>72.5</v>
      </c>
      <c r="C58" s="111" t="s">
        <v>307</v>
      </c>
      <c r="D58" s="111"/>
      <c r="E58" s="112">
        <v>0</v>
      </c>
      <c r="F58" s="112"/>
      <c r="G58" s="142"/>
      <c r="H58" s="142"/>
      <c r="I58" s="99"/>
      <c r="J58" s="198"/>
      <c r="K58" s="198"/>
      <c r="L58" s="198"/>
      <c r="M58" s="198"/>
      <c r="N58" s="198"/>
      <c r="O58" s="198"/>
      <c r="P58" s="198"/>
      <c r="Q58" s="198"/>
      <c r="R58" s="198"/>
      <c r="S58" s="198"/>
      <c r="T58" s="198"/>
    </row>
    <row r="59" spans="1:20" ht="15" customHeight="1" x14ac:dyDescent="0.25">
      <c r="A59" s="14" t="s">
        <v>351</v>
      </c>
      <c r="B59" s="20">
        <v>85</v>
      </c>
      <c r="C59" s="111" t="s">
        <v>308</v>
      </c>
      <c r="D59" s="111"/>
      <c r="E59" s="175">
        <v>4000</v>
      </c>
      <c r="F59" s="112"/>
      <c r="G59" s="112"/>
      <c r="H59" s="112"/>
      <c r="I59" s="99"/>
      <c r="J59" s="198"/>
      <c r="K59" s="198"/>
      <c r="L59" s="198"/>
      <c r="M59" s="198"/>
      <c r="N59" s="198"/>
      <c r="O59" s="198"/>
      <c r="P59" s="198"/>
      <c r="Q59" s="198"/>
      <c r="R59" s="198"/>
      <c r="S59" s="198"/>
      <c r="T59" s="198"/>
    </row>
    <row r="60" spans="1:20" ht="15" customHeight="1" x14ac:dyDescent="0.25">
      <c r="A60" s="14" t="s">
        <v>349</v>
      </c>
      <c r="B60" s="20">
        <f>85+310+240</f>
        <v>635</v>
      </c>
      <c r="C60" s="111" t="s">
        <v>308</v>
      </c>
      <c r="D60" s="111"/>
      <c r="E60" s="112">
        <v>0</v>
      </c>
      <c r="F60" s="112"/>
      <c r="G60" s="112"/>
      <c r="H60" s="112"/>
      <c r="I60" s="99"/>
      <c r="J60" s="198"/>
      <c r="K60" s="198"/>
      <c r="L60" s="198"/>
      <c r="M60" s="198"/>
      <c r="N60" s="198"/>
      <c r="O60" s="198"/>
      <c r="P60" s="198"/>
      <c r="Q60" s="198"/>
      <c r="R60" s="198"/>
      <c r="S60" s="198"/>
      <c r="T60" s="198"/>
    </row>
    <row r="61" spans="1:20" ht="15" customHeight="1" x14ac:dyDescent="0.25">
      <c r="B61" s="113"/>
      <c r="D61" s="106"/>
    </row>
    <row r="62" spans="1:20" ht="15" customHeight="1" x14ac:dyDescent="0.25">
      <c r="A62" s="1"/>
      <c r="B62" s="201" t="s">
        <v>224</v>
      </c>
      <c r="C62" s="201"/>
      <c r="D62" s="94" t="s">
        <v>324</v>
      </c>
      <c r="E62" s="113"/>
      <c r="F62" s="1"/>
      <c r="H62" s="10" t="s">
        <v>223</v>
      </c>
      <c r="J62" s="210" t="s">
        <v>225</v>
      </c>
      <c r="K62" s="210"/>
      <c r="L62" s="210"/>
      <c r="M62" s="210"/>
      <c r="N62" s="210"/>
      <c r="O62" s="210"/>
      <c r="P62" s="210"/>
      <c r="Q62" s="210"/>
      <c r="R62" s="210"/>
      <c r="S62" s="210"/>
      <c r="T62" s="210"/>
    </row>
    <row r="63" spans="1:20" ht="15" customHeight="1" x14ac:dyDescent="0.25">
      <c r="A63" s="218" t="str">
        <f>Eingabe!F60</f>
        <v>Klimageräte (Luft-Luft-Wärmepumpe) nach Heizlast</v>
      </c>
      <c r="B63" s="146">
        <v>1250.0999999999999</v>
      </c>
      <c r="C63" s="146">
        <v>1165.2</v>
      </c>
      <c r="D63" s="221" t="s">
        <v>319</v>
      </c>
      <c r="E63" s="222"/>
      <c r="F63" s="148"/>
      <c r="G63" s="146"/>
      <c r="H63" s="212" t="str">
        <f>B63&amp;"*Leistung+"&amp;C63</f>
        <v>1250,1*Leistung+1165,2</v>
      </c>
      <c r="I63" s="213"/>
      <c r="J63" s="210"/>
      <c r="K63" s="210"/>
      <c r="L63" s="210"/>
      <c r="M63" s="210"/>
      <c r="N63" s="210"/>
      <c r="O63" s="210"/>
      <c r="P63" s="210"/>
      <c r="Q63" s="210"/>
      <c r="R63" s="210"/>
      <c r="S63" s="210"/>
      <c r="T63" s="210"/>
    </row>
    <row r="64" spans="1:20" ht="15" customHeight="1" x14ac:dyDescent="0.25">
      <c r="A64" s="219"/>
      <c r="B64" s="102">
        <v>1459.1</v>
      </c>
      <c r="C64" s="102">
        <v>360.22</v>
      </c>
      <c r="D64" s="223" t="s">
        <v>320</v>
      </c>
      <c r="E64" s="223"/>
      <c r="F64" s="143"/>
      <c r="G64" s="102"/>
      <c r="H64" s="212" t="str">
        <f t="shared" ref="H64:H67" si="0">B64&amp;"*Leistung+"&amp;C64</f>
        <v>1459,1*Leistung+360,22</v>
      </c>
      <c r="I64" s="213"/>
      <c r="J64" s="210"/>
      <c r="K64" s="210"/>
      <c r="L64" s="210"/>
      <c r="M64" s="210"/>
      <c r="N64" s="210"/>
      <c r="O64" s="210"/>
      <c r="P64" s="210"/>
      <c r="Q64" s="210"/>
      <c r="R64" s="210"/>
      <c r="S64" s="210"/>
      <c r="T64" s="210"/>
    </row>
    <row r="65" spans="1:20" ht="15" customHeight="1" x14ac:dyDescent="0.25">
      <c r="A65" s="219"/>
      <c r="B65" s="102">
        <v>4120.1000000000004</v>
      </c>
      <c r="C65" s="102">
        <v>-26500</v>
      </c>
      <c r="D65" s="223" t="s">
        <v>321</v>
      </c>
      <c r="E65" s="223"/>
      <c r="F65" s="143"/>
      <c r="G65" s="102"/>
      <c r="H65" s="212" t="str">
        <f t="shared" si="0"/>
        <v>4120,1*Leistung+-26500</v>
      </c>
      <c r="I65" s="213"/>
      <c r="J65" s="210"/>
      <c r="K65" s="210"/>
      <c r="L65" s="210"/>
      <c r="M65" s="210"/>
      <c r="N65" s="210"/>
      <c r="O65" s="210"/>
      <c r="P65" s="210"/>
      <c r="Q65" s="210"/>
      <c r="R65" s="210"/>
      <c r="S65" s="210"/>
      <c r="T65" s="210"/>
    </row>
    <row r="66" spans="1:20" ht="15" customHeight="1" x14ac:dyDescent="0.25">
      <c r="A66" s="219"/>
      <c r="B66" s="102">
        <v>6379.5</v>
      </c>
      <c r="C66" s="102">
        <v>-66838</v>
      </c>
      <c r="D66" s="223" t="s">
        <v>322</v>
      </c>
      <c r="E66" s="223"/>
      <c r="F66" s="143"/>
      <c r="G66" s="102"/>
      <c r="H66" s="212" t="str">
        <f t="shared" si="0"/>
        <v>6379,5*Leistung+-66838</v>
      </c>
      <c r="I66" s="213"/>
      <c r="J66" s="210"/>
      <c r="K66" s="210"/>
      <c r="L66" s="210"/>
      <c r="M66" s="210"/>
      <c r="N66" s="210"/>
      <c r="O66" s="210"/>
      <c r="P66" s="210"/>
      <c r="Q66" s="210"/>
      <c r="R66" s="210"/>
      <c r="S66" s="210"/>
      <c r="T66" s="210"/>
    </row>
    <row r="67" spans="1:20" ht="15" customHeight="1" x14ac:dyDescent="0.25">
      <c r="A67" s="220"/>
      <c r="B67" s="102">
        <v>1657.7</v>
      </c>
      <c r="C67" s="102">
        <v>16533</v>
      </c>
      <c r="D67" s="223" t="s">
        <v>323</v>
      </c>
      <c r="E67" s="223"/>
      <c r="F67" s="143"/>
      <c r="G67" s="102"/>
      <c r="H67" s="212" t="str">
        <f t="shared" si="0"/>
        <v>1657,7*Leistung+16533</v>
      </c>
      <c r="I67" s="213"/>
      <c r="J67" s="210"/>
      <c r="K67" s="210"/>
      <c r="L67" s="210"/>
      <c r="M67" s="210"/>
      <c r="N67" s="210"/>
      <c r="O67" s="210"/>
      <c r="P67" s="210"/>
      <c r="Q67" s="210"/>
      <c r="R67" s="210"/>
      <c r="S67" s="210"/>
      <c r="T67" s="210"/>
    </row>
    <row r="68" spans="1:20" ht="15" customHeight="1" x14ac:dyDescent="0.25">
      <c r="A68" s="149"/>
      <c r="B68" s="142" t="s">
        <v>196</v>
      </c>
      <c r="C68" s="142" t="s">
        <v>314</v>
      </c>
      <c r="D68" s="150"/>
      <c r="E68" s="150"/>
      <c r="F68" s="112"/>
      <c r="G68" s="142"/>
      <c r="H68" s="142"/>
      <c r="I68" s="151"/>
      <c r="J68" s="210"/>
      <c r="K68" s="210"/>
      <c r="L68" s="210"/>
      <c r="M68" s="210"/>
      <c r="N68" s="210"/>
      <c r="O68" s="210"/>
      <c r="P68" s="210"/>
      <c r="Q68" s="210"/>
      <c r="R68" s="210"/>
      <c r="S68" s="210"/>
      <c r="T68" s="210"/>
    </row>
    <row r="69" spans="1:20" ht="15" customHeight="1" x14ac:dyDescent="0.25">
      <c r="A69" s="147" t="str">
        <f>Eingabe!F61</f>
        <v>Wärmepumpe Luft-Wasser nach Heizlast</v>
      </c>
      <c r="B69" s="152">
        <v>11199</v>
      </c>
      <c r="C69" s="152">
        <v>-0.53100000000000003</v>
      </c>
      <c r="D69" s="153"/>
      <c r="E69" s="154"/>
      <c r="F69" s="114"/>
      <c r="G69" s="155"/>
      <c r="H69" s="155" t="s">
        <v>315</v>
      </c>
      <c r="I69" s="160"/>
      <c r="J69" s="210"/>
      <c r="K69" s="210"/>
      <c r="L69" s="210"/>
      <c r="M69" s="210"/>
      <c r="N69" s="210"/>
      <c r="O69" s="210"/>
      <c r="P69" s="210"/>
      <c r="Q69" s="210"/>
      <c r="R69" s="210"/>
      <c r="S69" s="210"/>
      <c r="T69" s="210"/>
    </row>
    <row r="70" spans="1:20" ht="15" customHeight="1" x14ac:dyDescent="0.25">
      <c r="A70" s="102" t="s">
        <v>352</v>
      </c>
      <c r="B70" s="152">
        <v>7364.8</v>
      </c>
      <c r="C70" s="152">
        <v>-0.38400000000000001</v>
      </c>
      <c r="D70" s="158"/>
      <c r="E70" s="159"/>
      <c r="F70" s="112"/>
      <c r="G70" s="142"/>
      <c r="H70" s="142" t="s">
        <v>315</v>
      </c>
      <c r="I70" s="151"/>
      <c r="J70" s="210"/>
      <c r="K70" s="210"/>
      <c r="L70" s="210"/>
      <c r="M70" s="210"/>
      <c r="N70" s="210"/>
      <c r="O70" s="210"/>
      <c r="P70" s="210"/>
      <c r="Q70" s="210"/>
      <c r="R70" s="210"/>
      <c r="S70" s="210"/>
      <c r="T70" s="210"/>
    </row>
    <row r="71" spans="1:20" ht="15" customHeight="1" x14ac:dyDescent="0.25">
      <c r="A71" s="102" t="s">
        <v>353</v>
      </c>
      <c r="B71" s="152">
        <v>8764.7999999999993</v>
      </c>
      <c r="C71" s="152">
        <v>-0.52900000000000003</v>
      </c>
      <c r="D71" s="156"/>
      <c r="E71" s="157"/>
      <c r="F71" s="157"/>
      <c r="G71" s="157"/>
      <c r="H71" s="157" t="s">
        <v>315</v>
      </c>
      <c r="I71" s="161"/>
      <c r="J71" s="210"/>
      <c r="K71" s="210"/>
      <c r="L71" s="210"/>
      <c r="M71" s="210"/>
      <c r="N71" s="210"/>
      <c r="O71" s="210"/>
      <c r="P71" s="210"/>
      <c r="Q71" s="210"/>
      <c r="R71" s="210"/>
      <c r="S71" s="210"/>
      <c r="T71" s="210"/>
    </row>
    <row r="72" spans="1:20" ht="15" customHeight="1" x14ac:dyDescent="0.25">
      <c r="B72" s="113"/>
      <c r="D72" s="106"/>
    </row>
    <row r="73" spans="1:20" ht="15" customHeight="1" x14ac:dyDescent="0.25">
      <c r="A73" s="114"/>
      <c r="B73" s="206" t="s">
        <v>221</v>
      </c>
      <c r="C73" s="206"/>
      <c r="D73" s="115"/>
      <c r="E73" s="114"/>
      <c r="F73" s="114"/>
      <c r="G73" s="114"/>
      <c r="H73" s="114"/>
      <c r="I73" s="35"/>
    </row>
    <row r="74" spans="1:20" ht="15" customHeight="1" x14ac:dyDescent="0.25">
      <c r="B74" s="20" t="s">
        <v>196</v>
      </c>
      <c r="C74" s="20" t="s">
        <v>197</v>
      </c>
      <c r="D74" s="106"/>
      <c r="I74" s="107"/>
    </row>
    <row r="75" spans="1:20" ht="19.5" customHeight="1" x14ac:dyDescent="0.25">
      <c r="B75" s="116" t="s">
        <v>226</v>
      </c>
      <c r="C75" s="116" t="s">
        <v>25</v>
      </c>
      <c r="D75" s="106"/>
      <c r="I75" s="107"/>
    </row>
    <row r="76" spans="1:20" ht="19.5" customHeight="1" x14ac:dyDescent="0.25">
      <c r="B76" s="207" t="s">
        <v>227</v>
      </c>
      <c r="C76" s="207"/>
      <c r="D76" s="106"/>
      <c r="I76" s="107"/>
    </row>
    <row r="77" spans="1:20" ht="15" customHeight="1" x14ac:dyDescent="0.25">
      <c r="B77" s="117"/>
      <c r="D77" s="106"/>
      <c r="I77" s="107"/>
    </row>
    <row r="78" spans="1:20" ht="15" customHeight="1" x14ac:dyDescent="0.25">
      <c r="B78" s="211" t="s">
        <v>228</v>
      </c>
      <c r="C78" s="211"/>
      <c r="D78" s="106"/>
      <c r="I78" s="107"/>
    </row>
    <row r="79" spans="1:20" ht="19.5" customHeight="1" x14ac:dyDescent="0.25">
      <c r="A79" s="9" t="s">
        <v>124</v>
      </c>
      <c r="B79" s="117" t="s">
        <v>226</v>
      </c>
      <c r="D79" s="106"/>
      <c r="I79" s="107"/>
    </row>
    <row r="80" spans="1:20" ht="15" customHeight="1" x14ac:dyDescent="0.35">
      <c r="A80" s="118" t="s">
        <v>229</v>
      </c>
      <c r="B80" s="119">
        <v>9585</v>
      </c>
      <c r="C80" s="120">
        <v>-0.54200000000000004</v>
      </c>
      <c r="D80" s="114"/>
      <c r="E80" s="114"/>
      <c r="F80" s="114"/>
      <c r="G80" s="114"/>
      <c r="H80" s="114"/>
      <c r="I80" s="35"/>
      <c r="J80" s="198" t="s">
        <v>230</v>
      </c>
      <c r="K80" s="198"/>
      <c r="L80" s="198"/>
      <c r="M80" s="198"/>
      <c r="N80" s="198"/>
      <c r="O80" s="198"/>
      <c r="P80" s="198"/>
      <c r="Q80" s="198"/>
      <c r="R80" s="198"/>
      <c r="S80" s="198"/>
      <c r="T80" s="198"/>
    </row>
    <row r="81" spans="1:20" ht="15" customHeight="1" x14ac:dyDescent="0.35">
      <c r="A81" s="118" t="s">
        <v>231</v>
      </c>
      <c r="B81" s="119">
        <v>5438</v>
      </c>
      <c r="C81" s="120">
        <v>-0.35099999999999998</v>
      </c>
      <c r="I81" s="107"/>
      <c r="J81" s="198"/>
      <c r="K81" s="198"/>
      <c r="L81" s="198"/>
      <c r="M81" s="198"/>
      <c r="N81" s="198"/>
      <c r="O81" s="198"/>
      <c r="P81" s="198"/>
      <c r="Q81" s="198"/>
      <c r="R81" s="198"/>
      <c r="S81" s="198"/>
      <c r="T81" s="198"/>
    </row>
    <row r="82" spans="1:20" ht="15" customHeight="1" x14ac:dyDescent="0.35">
      <c r="A82" s="118" t="s">
        <v>232</v>
      </c>
      <c r="B82" s="119">
        <v>4907</v>
      </c>
      <c r="C82" s="120">
        <v>-0.35199999999999998</v>
      </c>
      <c r="I82" s="107"/>
      <c r="J82" s="198"/>
      <c r="K82" s="198"/>
      <c r="L82" s="198"/>
      <c r="M82" s="198"/>
      <c r="N82" s="198"/>
      <c r="O82" s="198"/>
      <c r="P82" s="198"/>
      <c r="Q82" s="198"/>
      <c r="R82" s="198"/>
      <c r="S82" s="198"/>
      <c r="T82" s="198"/>
    </row>
    <row r="83" spans="1:20" ht="15" customHeight="1" x14ac:dyDescent="0.35">
      <c r="A83" s="118" t="s">
        <v>233</v>
      </c>
      <c r="B83" s="119">
        <v>460.89</v>
      </c>
      <c r="C83" s="120">
        <v>-1.4999999999999999E-2</v>
      </c>
      <c r="I83" s="107"/>
      <c r="J83" s="198"/>
      <c r="K83" s="198"/>
      <c r="L83" s="198"/>
      <c r="M83" s="198"/>
      <c r="N83" s="198"/>
      <c r="O83" s="198"/>
      <c r="P83" s="198"/>
      <c r="Q83" s="198"/>
      <c r="R83" s="198"/>
      <c r="S83" s="198"/>
      <c r="T83" s="198"/>
    </row>
    <row r="84" spans="1:20" ht="15" customHeight="1" x14ac:dyDescent="0.35">
      <c r="A84" s="118" t="s">
        <v>234</v>
      </c>
      <c r="B84" s="119" t="s">
        <v>66</v>
      </c>
      <c r="C84" s="120" t="s">
        <v>66</v>
      </c>
      <c r="D84" s="114"/>
      <c r="E84" s="114"/>
      <c r="F84" s="114"/>
      <c r="G84" s="114"/>
      <c r="H84" s="114"/>
      <c r="I84" s="35"/>
      <c r="J84" s="198"/>
      <c r="K84" s="198"/>
      <c r="L84" s="198"/>
      <c r="M84" s="198"/>
      <c r="N84" s="198"/>
      <c r="O84" s="198"/>
      <c r="P84" s="198"/>
      <c r="Q84" s="198"/>
      <c r="R84" s="198"/>
      <c r="S84" s="198"/>
      <c r="T84" s="198"/>
    </row>
    <row r="85" spans="1:20" ht="15" customHeight="1" x14ac:dyDescent="0.35">
      <c r="A85" s="118" t="s">
        <v>235</v>
      </c>
      <c r="B85" s="119">
        <v>10267</v>
      </c>
      <c r="C85" s="120">
        <v>-0.497</v>
      </c>
      <c r="I85" s="107"/>
      <c r="J85" s="198"/>
      <c r="K85" s="198"/>
      <c r="L85" s="198"/>
      <c r="M85" s="198"/>
      <c r="N85" s="198"/>
      <c r="O85" s="198"/>
      <c r="P85" s="198"/>
      <c r="Q85" s="198"/>
      <c r="R85" s="198"/>
      <c r="S85" s="198"/>
      <c r="T85" s="198"/>
    </row>
    <row r="86" spans="1:20" ht="15" customHeight="1" x14ac:dyDescent="0.35">
      <c r="A86" s="118" t="s">
        <v>236</v>
      </c>
      <c r="B86" s="119">
        <v>4276</v>
      </c>
      <c r="C86" s="120">
        <v>-0.32500000000000001</v>
      </c>
      <c r="I86" s="107"/>
      <c r="J86" s="198"/>
      <c r="K86" s="198"/>
      <c r="L86" s="198"/>
      <c r="M86" s="198"/>
      <c r="N86" s="198"/>
      <c r="O86" s="198"/>
      <c r="P86" s="198"/>
      <c r="Q86" s="198"/>
      <c r="R86" s="198"/>
      <c r="S86" s="198"/>
      <c r="T86" s="198"/>
    </row>
    <row r="87" spans="1:20" ht="15" customHeight="1" x14ac:dyDescent="0.35">
      <c r="A87" s="118" t="s">
        <v>237</v>
      </c>
      <c r="B87" s="119">
        <v>1000.1</v>
      </c>
      <c r="C87" s="120">
        <v>-0.11700000000000001</v>
      </c>
      <c r="I87" s="107"/>
      <c r="J87" s="198"/>
      <c r="K87" s="198"/>
      <c r="L87" s="198"/>
      <c r="M87" s="198"/>
      <c r="N87" s="198"/>
      <c r="O87" s="198"/>
      <c r="P87" s="198"/>
      <c r="Q87" s="198"/>
      <c r="R87" s="198"/>
      <c r="S87" s="198"/>
      <c r="T87" s="198"/>
    </row>
    <row r="88" spans="1:20" ht="15" customHeight="1" x14ac:dyDescent="0.35">
      <c r="A88" s="118" t="s">
        <v>238</v>
      </c>
      <c r="B88" s="119" t="s">
        <v>66</v>
      </c>
      <c r="C88" s="120" t="s">
        <v>66</v>
      </c>
      <c r="D88" s="114"/>
      <c r="E88" s="114"/>
      <c r="F88" s="114"/>
      <c r="G88" s="114"/>
      <c r="H88" s="114"/>
      <c r="I88" s="35"/>
      <c r="J88" s="198"/>
      <c r="K88" s="198"/>
      <c r="L88" s="198"/>
      <c r="M88" s="198"/>
      <c r="N88" s="198"/>
      <c r="O88" s="198"/>
      <c r="P88" s="198"/>
      <c r="Q88" s="198"/>
      <c r="R88" s="198"/>
      <c r="S88" s="198"/>
      <c r="T88" s="198"/>
    </row>
    <row r="89" spans="1:20" ht="15" customHeight="1" x14ac:dyDescent="0.35">
      <c r="A89" s="118" t="s">
        <v>239</v>
      </c>
      <c r="B89" s="119">
        <v>11834</v>
      </c>
      <c r="C89" s="120">
        <v>-0.52</v>
      </c>
      <c r="I89" s="107"/>
      <c r="J89" s="198"/>
      <c r="K89" s="198"/>
      <c r="L89" s="198"/>
      <c r="M89" s="198"/>
      <c r="N89" s="198"/>
      <c r="O89" s="198"/>
      <c r="P89" s="198"/>
      <c r="Q89" s="198"/>
      <c r="R89" s="198"/>
      <c r="S89" s="198"/>
      <c r="T89" s="198"/>
    </row>
    <row r="90" spans="1:20" ht="15" customHeight="1" x14ac:dyDescent="0.35">
      <c r="A90" s="118" t="s">
        <v>240</v>
      </c>
      <c r="B90" s="119">
        <v>4497</v>
      </c>
      <c r="C90" s="120">
        <v>-0.33</v>
      </c>
      <c r="I90" s="107"/>
      <c r="J90" s="198"/>
      <c r="K90" s="198"/>
      <c r="L90" s="198"/>
      <c r="M90" s="198"/>
      <c r="N90" s="198"/>
      <c r="O90" s="198"/>
      <c r="P90" s="198"/>
      <c r="Q90" s="198"/>
      <c r="R90" s="198"/>
      <c r="S90" s="198"/>
      <c r="T90" s="198"/>
    </row>
    <row r="91" spans="1:20" ht="15" customHeight="1" x14ac:dyDescent="0.35">
      <c r="A91" s="118" t="s">
        <v>241</v>
      </c>
      <c r="B91" s="119">
        <v>954.67</v>
      </c>
      <c r="C91" s="120">
        <v>-0.11</v>
      </c>
      <c r="I91" s="107"/>
      <c r="J91" s="198"/>
      <c r="K91" s="198"/>
      <c r="L91" s="198"/>
      <c r="M91" s="198"/>
      <c r="N91" s="198"/>
      <c r="O91" s="198"/>
      <c r="P91" s="198"/>
      <c r="Q91" s="198"/>
      <c r="R91" s="198"/>
      <c r="S91" s="198"/>
      <c r="T91" s="198"/>
    </row>
    <row r="92" spans="1:20" ht="15" customHeight="1" x14ac:dyDescent="0.35">
      <c r="A92" s="118" t="s">
        <v>242</v>
      </c>
      <c r="B92" s="119">
        <v>10375</v>
      </c>
      <c r="C92" s="120">
        <v>-0.6</v>
      </c>
      <c r="D92" s="114"/>
      <c r="E92" s="114"/>
      <c r="F92" s="114"/>
      <c r="G92" s="114"/>
      <c r="H92" s="114"/>
      <c r="I92" s="35"/>
      <c r="J92" s="198"/>
      <c r="K92" s="198"/>
      <c r="L92" s="198"/>
      <c r="M92" s="198"/>
      <c r="N92" s="198"/>
      <c r="O92" s="198"/>
      <c r="P92" s="198"/>
      <c r="Q92" s="198"/>
      <c r="R92" s="198"/>
      <c r="S92" s="198"/>
      <c r="T92" s="198"/>
    </row>
    <row r="93" spans="1:20" ht="15" customHeight="1" x14ac:dyDescent="0.35">
      <c r="A93" s="118" t="s">
        <v>243</v>
      </c>
      <c r="B93" s="119">
        <v>5242</v>
      </c>
      <c r="C93" s="120">
        <v>-0.33700000000000002</v>
      </c>
      <c r="I93" s="107"/>
      <c r="J93" s="198"/>
      <c r="K93" s="198"/>
      <c r="L93" s="198"/>
      <c r="M93" s="198"/>
      <c r="N93" s="198"/>
      <c r="O93" s="198"/>
      <c r="P93" s="198"/>
      <c r="Q93" s="198"/>
      <c r="R93" s="198"/>
      <c r="S93" s="198"/>
      <c r="T93" s="198"/>
    </row>
    <row r="94" spans="1:20" ht="15" customHeight="1" x14ac:dyDescent="0.35">
      <c r="A94" s="118" t="s">
        <v>244</v>
      </c>
      <c r="B94" s="119">
        <v>5242.3999999999996</v>
      </c>
      <c r="C94" s="120">
        <v>-0.35899999999999999</v>
      </c>
      <c r="I94" s="107"/>
      <c r="J94" s="198"/>
      <c r="K94" s="198"/>
      <c r="L94" s="198"/>
      <c r="M94" s="198"/>
      <c r="N94" s="198"/>
      <c r="O94" s="198"/>
      <c r="P94" s="198"/>
      <c r="Q94" s="198"/>
      <c r="R94" s="198"/>
      <c r="S94" s="198"/>
      <c r="T94" s="198"/>
    </row>
    <row r="95" spans="1:20" ht="15" customHeight="1" x14ac:dyDescent="0.35">
      <c r="A95" s="118" t="s">
        <v>245</v>
      </c>
      <c r="B95" s="119" t="s">
        <v>66</v>
      </c>
      <c r="C95" s="120" t="s">
        <v>66</v>
      </c>
      <c r="I95" s="107"/>
      <c r="J95" s="198"/>
      <c r="K95" s="198"/>
      <c r="L95" s="198"/>
      <c r="M95" s="198"/>
      <c r="N95" s="198"/>
      <c r="O95" s="198"/>
      <c r="P95" s="198"/>
      <c r="Q95" s="198"/>
      <c r="R95" s="198"/>
      <c r="S95" s="198"/>
      <c r="T95" s="198"/>
    </row>
    <row r="96" spans="1:20" ht="15" customHeight="1" x14ac:dyDescent="0.35">
      <c r="A96" s="118" t="s">
        <v>246</v>
      </c>
      <c r="B96" s="119">
        <v>12333</v>
      </c>
      <c r="C96" s="120">
        <v>-0.75800000000000001</v>
      </c>
      <c r="D96" s="114"/>
      <c r="E96" s="114"/>
      <c r="F96" s="114"/>
      <c r="G96" s="114"/>
      <c r="H96" s="114"/>
      <c r="I96" s="35"/>
      <c r="J96" s="198"/>
      <c r="K96" s="198"/>
      <c r="L96" s="198"/>
      <c r="M96" s="198"/>
      <c r="N96" s="198"/>
      <c r="O96" s="198"/>
      <c r="P96" s="198"/>
      <c r="Q96" s="198"/>
      <c r="R96" s="198"/>
      <c r="S96" s="198"/>
      <c r="T96" s="198"/>
    </row>
    <row r="97" spans="1:20" ht="15" customHeight="1" x14ac:dyDescent="0.35">
      <c r="A97" s="118" t="s">
        <v>247</v>
      </c>
      <c r="B97" s="119">
        <v>2693</v>
      </c>
      <c r="C97" s="120">
        <v>-0.215</v>
      </c>
      <c r="I97" s="107"/>
      <c r="J97" s="198"/>
      <c r="K97" s="198"/>
      <c r="L97" s="198"/>
      <c r="M97" s="198"/>
      <c r="N97" s="198"/>
      <c r="O97" s="198"/>
      <c r="P97" s="198"/>
      <c r="Q97" s="198"/>
      <c r="R97" s="198"/>
      <c r="S97" s="198"/>
      <c r="T97" s="198"/>
    </row>
    <row r="98" spans="1:20" ht="15" customHeight="1" x14ac:dyDescent="0.35">
      <c r="A98" s="118" t="s">
        <v>248</v>
      </c>
      <c r="B98" s="119" t="s">
        <v>66</v>
      </c>
      <c r="C98" s="120" t="s">
        <v>66</v>
      </c>
      <c r="I98" s="107"/>
      <c r="J98" s="198"/>
      <c r="K98" s="198"/>
      <c r="L98" s="198"/>
      <c r="M98" s="198"/>
      <c r="N98" s="198"/>
      <c r="O98" s="198"/>
      <c r="P98" s="198"/>
      <c r="Q98" s="198"/>
      <c r="R98" s="198"/>
      <c r="S98" s="198"/>
      <c r="T98" s="198"/>
    </row>
    <row r="99" spans="1:20" ht="15" customHeight="1" x14ac:dyDescent="0.35">
      <c r="A99" s="118" t="s">
        <v>249</v>
      </c>
      <c r="B99" s="119" t="s">
        <v>66</v>
      </c>
      <c r="C99" s="120" t="s">
        <v>66</v>
      </c>
      <c r="D99" s="108"/>
      <c r="E99" s="108"/>
      <c r="F99" s="108"/>
      <c r="G99" s="108"/>
      <c r="H99" s="108"/>
      <c r="I99" s="110"/>
      <c r="J99" s="198"/>
      <c r="K99" s="198"/>
      <c r="L99" s="198"/>
      <c r="M99" s="198"/>
      <c r="N99" s="198"/>
      <c r="O99" s="198"/>
      <c r="P99" s="198"/>
      <c r="Q99" s="198"/>
      <c r="R99" s="198"/>
      <c r="S99" s="198"/>
      <c r="T99" s="198"/>
    </row>
    <row r="100" spans="1:20" ht="15" customHeight="1" x14ac:dyDescent="0.25">
      <c r="A100" s="58"/>
      <c r="B100" s="121"/>
      <c r="C100" s="122"/>
      <c r="J100" s="198"/>
      <c r="K100" s="198"/>
      <c r="L100" s="198"/>
      <c r="M100" s="198"/>
      <c r="N100" s="198"/>
      <c r="O100" s="198"/>
      <c r="P100" s="198"/>
      <c r="Q100" s="198"/>
      <c r="R100" s="198"/>
      <c r="S100" s="198"/>
      <c r="T100" s="198"/>
    </row>
    <row r="101" spans="1:20" ht="15" customHeight="1" x14ac:dyDescent="0.25">
      <c r="A101" s="58"/>
      <c r="B101" s="208" t="s">
        <v>250</v>
      </c>
      <c r="C101" s="208"/>
      <c r="D101" s="209" t="s">
        <v>251</v>
      </c>
      <c r="E101" s="209"/>
      <c r="F101" s="209" t="s">
        <v>252</v>
      </c>
      <c r="G101" s="209"/>
      <c r="H101" s="114"/>
      <c r="I101" s="35"/>
      <c r="J101" s="198"/>
      <c r="K101" s="198"/>
      <c r="L101" s="198"/>
      <c r="M101" s="198"/>
      <c r="N101" s="198"/>
      <c r="O101" s="198"/>
      <c r="P101" s="198"/>
      <c r="Q101" s="198"/>
      <c r="R101" s="198"/>
      <c r="S101" s="198"/>
      <c r="T101" s="198"/>
    </row>
    <row r="102" spans="1:20" ht="15" customHeight="1" x14ac:dyDescent="0.25">
      <c r="A102" s="58"/>
      <c r="B102" s="208"/>
      <c r="C102" s="208"/>
      <c r="D102" s="209"/>
      <c r="E102" s="209"/>
      <c r="F102" s="209"/>
      <c r="G102" s="209"/>
      <c r="I102" s="107"/>
      <c r="J102" s="198"/>
      <c r="K102" s="198"/>
      <c r="L102" s="198"/>
      <c r="M102" s="198"/>
      <c r="N102" s="198"/>
      <c r="O102" s="198"/>
      <c r="P102" s="198"/>
      <c r="Q102" s="198"/>
      <c r="R102" s="198"/>
      <c r="S102" s="198"/>
      <c r="T102" s="198"/>
    </row>
    <row r="103" spans="1:20" ht="15" customHeight="1" x14ac:dyDescent="0.35">
      <c r="A103" s="118" t="s">
        <v>253</v>
      </c>
      <c r="B103" s="119"/>
      <c r="C103" s="120"/>
      <c r="D103" s="112"/>
      <c r="E103" s="99"/>
      <c r="F103" s="112"/>
      <c r="G103" s="99"/>
      <c r="I103" s="107"/>
      <c r="J103" s="198"/>
      <c r="K103" s="198"/>
      <c r="L103" s="198"/>
      <c r="M103" s="198"/>
      <c r="N103" s="198"/>
      <c r="O103" s="198"/>
      <c r="P103" s="198"/>
      <c r="Q103" s="198"/>
      <c r="R103" s="198"/>
      <c r="S103" s="198"/>
      <c r="T103" s="198"/>
    </row>
    <row r="104" spans="1:20" ht="15" customHeight="1" x14ac:dyDescent="0.25">
      <c r="A104" s="123" t="s">
        <v>254</v>
      </c>
      <c r="B104" s="124">
        <v>3</v>
      </c>
      <c r="C104" s="124"/>
      <c r="D104" s="112"/>
      <c r="E104" s="99">
        <v>13</v>
      </c>
      <c r="F104" s="112"/>
      <c r="G104" s="99">
        <v>46</v>
      </c>
      <c r="I104" s="107"/>
      <c r="J104" s="198"/>
      <c r="K104" s="198"/>
      <c r="L104" s="198"/>
      <c r="M104" s="198"/>
      <c r="N104" s="198"/>
      <c r="O104" s="198"/>
      <c r="P104" s="198"/>
      <c r="Q104" s="198"/>
      <c r="R104" s="198"/>
      <c r="S104" s="198"/>
      <c r="T104" s="198"/>
    </row>
    <row r="105" spans="1:20" ht="15" customHeight="1" x14ac:dyDescent="0.25">
      <c r="A105" s="123" t="s">
        <v>255</v>
      </c>
      <c r="B105" s="124">
        <v>3</v>
      </c>
      <c r="C105" s="124" t="s">
        <v>256</v>
      </c>
      <c r="D105" s="112"/>
      <c r="E105" s="99">
        <v>10</v>
      </c>
      <c r="F105" s="112"/>
      <c r="G105" s="99">
        <v>41</v>
      </c>
      <c r="I105" s="107"/>
      <c r="J105" s="198"/>
      <c r="K105" s="198"/>
      <c r="L105" s="198"/>
      <c r="M105" s="198"/>
      <c r="N105" s="198"/>
      <c r="O105" s="198"/>
      <c r="P105" s="198"/>
      <c r="Q105" s="198"/>
      <c r="R105" s="198"/>
      <c r="S105" s="198"/>
      <c r="T105" s="198"/>
    </row>
    <row r="106" spans="1:20" ht="15" customHeight="1" x14ac:dyDescent="0.25">
      <c r="A106" s="123" t="s">
        <v>255</v>
      </c>
      <c r="B106" s="124">
        <v>10</v>
      </c>
      <c r="C106" s="124" t="s">
        <v>257</v>
      </c>
      <c r="D106" s="112"/>
      <c r="E106" s="99">
        <v>6</v>
      </c>
      <c r="F106" s="112"/>
      <c r="G106" s="99">
        <v>39</v>
      </c>
      <c r="I106" s="107"/>
      <c r="J106" s="198"/>
      <c r="K106" s="198"/>
      <c r="L106" s="198"/>
      <c r="M106" s="198"/>
      <c r="N106" s="198"/>
      <c r="O106" s="198"/>
      <c r="P106" s="198"/>
      <c r="Q106" s="198"/>
      <c r="R106" s="198"/>
      <c r="S106" s="198"/>
      <c r="T106" s="198"/>
    </row>
    <row r="107" spans="1:20" ht="15" customHeight="1" x14ac:dyDescent="0.25">
      <c r="A107" s="123" t="s">
        <v>255</v>
      </c>
      <c r="B107" s="124">
        <v>100</v>
      </c>
      <c r="C107" s="124" t="s">
        <v>258</v>
      </c>
      <c r="D107" s="112"/>
      <c r="E107" s="99">
        <v>6</v>
      </c>
      <c r="F107" s="112"/>
      <c r="G107" s="99">
        <v>45</v>
      </c>
      <c r="I107" s="107"/>
      <c r="J107" s="198"/>
      <c r="K107" s="198"/>
      <c r="L107" s="198"/>
      <c r="M107" s="198"/>
      <c r="N107" s="198"/>
      <c r="O107" s="198"/>
      <c r="P107" s="198"/>
      <c r="Q107" s="198"/>
      <c r="R107" s="198"/>
      <c r="S107" s="198"/>
      <c r="T107" s="198"/>
    </row>
    <row r="108" spans="1:20" ht="15" customHeight="1" x14ac:dyDescent="0.25">
      <c r="A108" s="123" t="s">
        <v>255</v>
      </c>
      <c r="B108" s="124">
        <v>350</v>
      </c>
      <c r="C108" s="124" t="s">
        <v>259</v>
      </c>
      <c r="D108" s="112"/>
      <c r="E108" s="99">
        <v>6</v>
      </c>
      <c r="F108" s="112"/>
      <c r="G108" s="99">
        <v>54</v>
      </c>
      <c r="I108" s="107"/>
      <c r="J108" s="198"/>
      <c r="K108" s="198"/>
      <c r="L108" s="198"/>
      <c r="M108" s="198"/>
      <c r="N108" s="198"/>
      <c r="O108" s="198"/>
      <c r="P108" s="198"/>
      <c r="Q108" s="198"/>
      <c r="R108" s="198"/>
      <c r="S108" s="198"/>
      <c r="T108" s="198"/>
    </row>
    <row r="109" spans="1:20" ht="15" customHeight="1" x14ac:dyDescent="0.25">
      <c r="A109" s="123" t="s">
        <v>255</v>
      </c>
      <c r="B109" s="124">
        <v>500</v>
      </c>
      <c r="C109" s="124" t="s">
        <v>260</v>
      </c>
      <c r="D109" s="112"/>
      <c r="E109" s="99">
        <v>6</v>
      </c>
      <c r="F109" s="112"/>
      <c r="G109" s="99">
        <v>60</v>
      </c>
      <c r="I109" s="107"/>
      <c r="J109" s="198"/>
      <c r="K109" s="198"/>
      <c r="L109" s="198"/>
      <c r="M109" s="198"/>
      <c r="N109" s="198"/>
      <c r="O109" s="198"/>
      <c r="P109" s="198"/>
      <c r="Q109" s="198"/>
      <c r="R109" s="198"/>
      <c r="S109" s="198"/>
      <c r="T109" s="198"/>
    </row>
    <row r="110" spans="1:20" ht="15" customHeight="1" x14ac:dyDescent="0.25">
      <c r="A110" s="123" t="s">
        <v>255</v>
      </c>
      <c r="B110" s="124">
        <v>750</v>
      </c>
      <c r="C110" s="124" t="s">
        <v>261</v>
      </c>
      <c r="D110" s="112"/>
      <c r="E110" s="99">
        <v>7</v>
      </c>
      <c r="F110" s="112"/>
      <c r="G110" s="99">
        <v>67</v>
      </c>
      <c r="I110" s="107"/>
      <c r="J110" s="198"/>
      <c r="K110" s="198"/>
      <c r="L110" s="198"/>
      <c r="M110" s="198"/>
      <c r="N110" s="198"/>
      <c r="O110" s="198"/>
      <c r="P110" s="198"/>
      <c r="Q110" s="198"/>
      <c r="R110" s="198"/>
      <c r="S110" s="198"/>
      <c r="T110" s="198"/>
    </row>
    <row r="111" spans="1:20" ht="15" customHeight="1" x14ac:dyDescent="0.25">
      <c r="A111" s="123" t="s">
        <v>255</v>
      </c>
      <c r="B111" s="124">
        <v>1000</v>
      </c>
      <c r="C111" s="124" t="s">
        <v>262</v>
      </c>
      <c r="D111" s="112"/>
      <c r="E111" s="99">
        <v>19</v>
      </c>
      <c r="F111" s="112"/>
      <c r="G111" s="99">
        <v>76</v>
      </c>
      <c r="I111" s="107"/>
      <c r="J111" s="198"/>
      <c r="K111" s="198"/>
      <c r="L111" s="198"/>
      <c r="M111" s="198"/>
      <c r="N111" s="198"/>
      <c r="O111" s="198"/>
      <c r="P111" s="198"/>
      <c r="Q111" s="198"/>
      <c r="R111" s="198"/>
      <c r="S111" s="198"/>
      <c r="T111" s="198"/>
    </row>
    <row r="112" spans="1:20" ht="15" customHeight="1" x14ac:dyDescent="0.25">
      <c r="A112" s="123" t="s">
        <v>255</v>
      </c>
      <c r="B112" s="124">
        <v>1500</v>
      </c>
      <c r="C112" s="124" t="s">
        <v>263</v>
      </c>
      <c r="D112" s="112"/>
      <c r="E112" s="99">
        <v>18</v>
      </c>
      <c r="F112" s="112"/>
      <c r="G112" s="99">
        <v>59</v>
      </c>
      <c r="I112" s="107"/>
      <c r="J112" s="198"/>
      <c r="K112" s="198"/>
      <c r="L112" s="198"/>
      <c r="M112" s="198"/>
      <c r="N112" s="198"/>
      <c r="O112" s="198"/>
      <c r="P112" s="198"/>
      <c r="Q112" s="198"/>
      <c r="R112" s="198"/>
      <c r="S112" s="198"/>
      <c r="T112" s="198"/>
    </row>
    <row r="113" spans="1:20" ht="15" customHeight="1" x14ac:dyDescent="0.25">
      <c r="A113" s="123" t="s">
        <v>264</v>
      </c>
      <c r="B113" s="124"/>
      <c r="C113" s="124">
        <v>5000</v>
      </c>
      <c r="D113" s="112"/>
      <c r="E113" s="99">
        <v>17</v>
      </c>
      <c r="F113" s="112"/>
      <c r="G113" s="99">
        <v>45</v>
      </c>
      <c r="H113" s="108"/>
      <c r="I113" s="110"/>
      <c r="J113" s="198"/>
      <c r="K113" s="198"/>
      <c r="L113" s="198"/>
      <c r="M113" s="198"/>
      <c r="N113" s="198"/>
      <c r="O113" s="198"/>
      <c r="P113" s="198"/>
      <c r="Q113" s="198"/>
      <c r="R113" s="198"/>
      <c r="S113" s="198"/>
      <c r="T113" s="198"/>
    </row>
    <row r="114" spans="1:20" ht="15" customHeight="1" x14ac:dyDescent="0.25"/>
    <row r="115" spans="1:20" ht="15" customHeight="1" x14ac:dyDescent="0.25"/>
    <row r="116" spans="1:20" ht="15" customHeight="1" x14ac:dyDescent="0.25">
      <c r="A116" s="114"/>
      <c r="B116" s="206" t="s">
        <v>221</v>
      </c>
      <c r="C116" s="206"/>
      <c r="D116" s="114"/>
      <c r="E116" s="114"/>
      <c r="F116" s="114"/>
      <c r="G116" s="114"/>
      <c r="H116" s="114"/>
      <c r="I116" s="35"/>
      <c r="J116" s="198" t="s">
        <v>265</v>
      </c>
      <c r="K116" s="198"/>
      <c r="L116" s="198"/>
      <c r="M116" s="198"/>
      <c r="N116" s="198"/>
      <c r="O116" s="198"/>
      <c r="P116" s="198"/>
      <c r="Q116" s="198"/>
      <c r="R116" s="198"/>
      <c r="S116" s="198"/>
      <c r="T116" s="198"/>
    </row>
    <row r="117" spans="1:20" ht="15" customHeight="1" x14ac:dyDescent="0.25">
      <c r="B117" s="20" t="s">
        <v>196</v>
      </c>
      <c r="C117" s="20" t="s">
        <v>197</v>
      </c>
      <c r="I117" s="107"/>
      <c r="J117" s="198"/>
      <c r="K117" s="198"/>
      <c r="L117" s="198"/>
      <c r="M117" s="198"/>
      <c r="N117" s="198"/>
      <c r="O117" s="198"/>
      <c r="P117" s="198"/>
      <c r="Q117" s="198"/>
      <c r="R117" s="198"/>
      <c r="S117" s="198"/>
      <c r="T117" s="198"/>
    </row>
    <row r="118" spans="1:20" ht="15" customHeight="1" x14ac:dyDescent="0.25">
      <c r="B118" s="116" t="s">
        <v>199</v>
      </c>
      <c r="C118" s="116" t="s">
        <v>25</v>
      </c>
      <c r="I118" s="107"/>
      <c r="J118" s="198"/>
      <c r="K118" s="198"/>
      <c r="L118" s="198"/>
      <c r="M118" s="198"/>
      <c r="N118" s="198"/>
      <c r="O118" s="198"/>
      <c r="P118" s="198"/>
      <c r="Q118" s="198"/>
      <c r="R118" s="198"/>
      <c r="S118" s="198"/>
      <c r="T118" s="198"/>
    </row>
    <row r="119" spans="1:20" ht="15" customHeight="1" x14ac:dyDescent="0.25">
      <c r="B119" s="207" t="s">
        <v>266</v>
      </c>
      <c r="C119" s="207"/>
      <c r="I119" s="107"/>
      <c r="J119" s="198"/>
      <c r="K119" s="198"/>
      <c r="L119" s="198"/>
      <c r="M119" s="198"/>
      <c r="N119" s="198"/>
      <c r="O119" s="198"/>
      <c r="P119" s="198"/>
      <c r="Q119" s="198"/>
      <c r="R119" s="198"/>
      <c r="S119" s="198"/>
      <c r="T119" s="198"/>
    </row>
    <row r="120" spans="1:20" ht="15" customHeight="1" x14ac:dyDescent="0.25">
      <c r="I120" s="107"/>
      <c r="J120" s="198"/>
      <c r="K120" s="198"/>
      <c r="L120" s="198"/>
      <c r="M120" s="198"/>
      <c r="N120" s="198"/>
      <c r="O120" s="198"/>
      <c r="P120" s="198"/>
      <c r="Q120" s="198"/>
      <c r="R120" s="198"/>
      <c r="S120" s="198"/>
      <c r="T120" s="198"/>
    </row>
    <row r="121" spans="1:20" ht="15" customHeight="1" x14ac:dyDescent="0.25">
      <c r="A121" s="9" t="s">
        <v>138</v>
      </c>
      <c r="B121" s="201" t="s">
        <v>267</v>
      </c>
      <c r="C121" s="201"/>
      <c r="D121" s="201"/>
      <c r="I121" s="107"/>
      <c r="J121" s="198"/>
      <c r="K121" s="198"/>
      <c r="L121" s="198"/>
      <c r="M121" s="198"/>
      <c r="N121" s="198"/>
      <c r="O121" s="198"/>
      <c r="P121" s="198"/>
      <c r="Q121" s="198"/>
      <c r="R121" s="198"/>
      <c r="S121" s="198"/>
      <c r="T121" s="198"/>
    </row>
    <row r="122" spans="1:20" ht="15" customHeight="1" x14ac:dyDescent="0.25">
      <c r="A122" s="111" t="str">
        <f>Eingabe!F76</f>
        <v>Solar für WW, Einzelmaßnahme</v>
      </c>
      <c r="B122" s="109">
        <v>920.64</v>
      </c>
      <c r="C122" s="20">
        <v>-0.106</v>
      </c>
      <c r="D122" s="112"/>
      <c r="E122" s="112"/>
      <c r="F122" s="112"/>
      <c r="G122" s="112"/>
      <c r="H122" s="125"/>
      <c r="I122" s="99"/>
      <c r="J122" s="198"/>
      <c r="K122" s="198"/>
      <c r="L122" s="198"/>
      <c r="M122" s="198"/>
      <c r="N122" s="198"/>
      <c r="O122" s="198"/>
      <c r="P122" s="198"/>
      <c r="Q122" s="198"/>
      <c r="R122" s="198"/>
      <c r="S122" s="198"/>
      <c r="T122" s="198"/>
    </row>
    <row r="123" spans="1:20" ht="15" customHeight="1" x14ac:dyDescent="0.25">
      <c r="A123" s="111" t="str">
        <f>Eingabe!F80</f>
        <v>Solar für WW&amp;H, Einzelmaßnahme</v>
      </c>
      <c r="B123" s="109">
        <v>677.29</v>
      </c>
      <c r="C123" s="20">
        <v>-1.4999999999999999E-2</v>
      </c>
      <c r="D123" s="112"/>
      <c r="E123" s="112"/>
      <c r="F123" s="112"/>
      <c r="G123" s="112"/>
      <c r="H123" s="125"/>
      <c r="I123" s="99"/>
      <c r="J123" s="198"/>
      <c r="K123" s="198"/>
      <c r="L123" s="198"/>
      <c r="M123" s="198"/>
      <c r="N123" s="198"/>
      <c r="O123" s="198"/>
      <c r="P123" s="198"/>
      <c r="Q123" s="198"/>
      <c r="R123" s="198"/>
      <c r="S123" s="198"/>
      <c r="T123" s="198"/>
    </row>
    <row r="124" spans="1:20" ht="15" customHeight="1" x14ac:dyDescent="0.25">
      <c r="A124" s="111" t="s">
        <v>268</v>
      </c>
      <c r="B124" s="205" t="s">
        <v>269</v>
      </c>
      <c r="C124" s="205"/>
      <c r="D124" s="126">
        <v>0.1</v>
      </c>
      <c r="E124" s="125" t="s">
        <v>270</v>
      </c>
      <c r="F124" s="112"/>
      <c r="G124" s="112"/>
      <c r="H124" s="125"/>
      <c r="I124" s="99"/>
      <c r="J124" s="198" t="s">
        <v>271</v>
      </c>
      <c r="K124" s="198"/>
      <c r="L124" s="198"/>
      <c r="M124" s="198"/>
      <c r="N124" s="198"/>
      <c r="O124" s="198"/>
      <c r="P124" s="198"/>
      <c r="Q124" s="198"/>
      <c r="R124" s="198"/>
      <c r="S124" s="198"/>
      <c r="T124" s="198"/>
    </row>
    <row r="125" spans="1:20" ht="15" customHeight="1" x14ac:dyDescent="0.25">
      <c r="A125" s="111" t="s">
        <v>272</v>
      </c>
      <c r="B125" s="205" t="s">
        <v>269</v>
      </c>
      <c r="C125" s="205"/>
      <c r="D125" s="127">
        <v>0.1</v>
      </c>
      <c r="E125" s="125" t="s">
        <v>270</v>
      </c>
      <c r="F125" s="112"/>
      <c r="G125" s="112"/>
      <c r="H125" s="125"/>
      <c r="I125" s="99"/>
      <c r="J125" s="198"/>
      <c r="K125" s="198"/>
      <c r="L125" s="198"/>
      <c r="M125" s="198"/>
      <c r="N125" s="198"/>
      <c r="O125" s="198"/>
      <c r="P125" s="198"/>
      <c r="Q125" s="198"/>
      <c r="R125" s="198"/>
      <c r="S125" s="198"/>
      <c r="T125" s="198"/>
    </row>
    <row r="126" spans="1:20" ht="15" customHeight="1" x14ac:dyDescent="0.25">
      <c r="B126" s="11"/>
      <c r="C126" s="11"/>
      <c r="D126" s="128"/>
      <c r="E126" s="106"/>
      <c r="H126" s="106"/>
    </row>
    <row r="127" spans="1:20" ht="15" customHeight="1" x14ac:dyDescent="0.25">
      <c r="B127" s="11"/>
      <c r="C127" s="11"/>
      <c r="D127" s="128"/>
      <c r="E127" s="106"/>
      <c r="H127" s="106"/>
    </row>
    <row r="128" spans="1:20" ht="15" customHeight="1" x14ac:dyDescent="0.25">
      <c r="A128" s="81"/>
      <c r="B128" s="206" t="s">
        <v>221</v>
      </c>
      <c r="C128" s="206"/>
      <c r="D128" s="129"/>
      <c r="E128" s="115"/>
      <c r="F128" s="114"/>
      <c r="G128" s="114"/>
      <c r="H128" s="115"/>
      <c r="I128" s="35"/>
      <c r="J128" s="198" t="s">
        <v>273</v>
      </c>
      <c r="K128" s="198"/>
      <c r="L128" s="198"/>
      <c r="M128" s="198"/>
      <c r="N128" s="198"/>
      <c r="O128" s="198"/>
      <c r="P128" s="198"/>
      <c r="Q128" s="198"/>
      <c r="R128" s="198"/>
      <c r="S128" s="198"/>
      <c r="T128" s="198"/>
    </row>
    <row r="129" spans="1:20" ht="15" customHeight="1" x14ac:dyDescent="0.25">
      <c r="A129" s="84"/>
      <c r="B129" s="20" t="s">
        <v>196</v>
      </c>
      <c r="C129" s="20" t="s">
        <v>197</v>
      </c>
      <c r="D129" s="128"/>
      <c r="E129" s="106"/>
      <c r="H129" s="106"/>
      <c r="I129" s="107"/>
      <c r="J129" s="198"/>
      <c r="K129" s="198"/>
      <c r="L129" s="198"/>
      <c r="M129" s="198"/>
      <c r="N129" s="198"/>
      <c r="O129" s="198"/>
      <c r="P129" s="198"/>
      <c r="Q129" s="198"/>
      <c r="R129" s="198"/>
      <c r="S129" s="198"/>
      <c r="T129" s="198"/>
    </row>
    <row r="130" spans="1:20" ht="19.5" customHeight="1" x14ac:dyDescent="0.25">
      <c r="A130" s="84"/>
      <c r="B130" s="207" t="s">
        <v>274</v>
      </c>
      <c r="C130" s="207"/>
      <c r="D130" s="128"/>
      <c r="E130" s="106"/>
      <c r="H130" s="106"/>
      <c r="I130" s="107"/>
      <c r="J130" s="198"/>
      <c r="K130" s="198"/>
      <c r="L130" s="198"/>
      <c r="M130" s="198"/>
      <c r="N130" s="198"/>
      <c r="O130" s="198"/>
      <c r="P130" s="198"/>
      <c r="Q130" s="198"/>
      <c r="R130" s="198"/>
      <c r="S130" s="198"/>
      <c r="T130" s="198"/>
    </row>
    <row r="131" spans="1:20" ht="15" customHeight="1" x14ac:dyDescent="0.25">
      <c r="A131" s="84"/>
      <c r="B131" s="11"/>
      <c r="C131" s="11"/>
      <c r="D131" s="128"/>
      <c r="E131" s="106"/>
      <c r="H131" s="106"/>
      <c r="I131" s="107"/>
      <c r="J131" s="198"/>
      <c r="K131" s="198"/>
      <c r="L131" s="198"/>
      <c r="M131" s="198"/>
      <c r="N131" s="198"/>
      <c r="O131" s="198"/>
      <c r="P131" s="198"/>
      <c r="Q131" s="198"/>
      <c r="R131" s="198"/>
      <c r="S131" s="198"/>
      <c r="T131" s="198"/>
    </row>
    <row r="132" spans="1:20" ht="15" customHeight="1" x14ac:dyDescent="0.25">
      <c r="A132" s="130" t="s">
        <v>158</v>
      </c>
      <c r="B132" s="11" t="s">
        <v>275</v>
      </c>
      <c r="C132" s="11" t="s">
        <v>276</v>
      </c>
      <c r="D132" s="128"/>
      <c r="E132" s="106"/>
      <c r="H132" s="131" t="s">
        <v>38</v>
      </c>
      <c r="I132" s="107"/>
      <c r="J132" s="198"/>
      <c r="K132" s="198"/>
      <c r="L132" s="198"/>
      <c r="M132" s="198"/>
      <c r="N132" s="198"/>
      <c r="O132" s="198"/>
      <c r="P132" s="198"/>
      <c r="Q132" s="198"/>
      <c r="R132" s="198"/>
      <c r="S132" s="198"/>
      <c r="T132" s="198"/>
    </row>
    <row r="133" spans="1:20" ht="15" customHeight="1" x14ac:dyDescent="0.25">
      <c r="A133" s="111" t="str">
        <f>Eingabe!F87</f>
        <v>PV-Anlage ohne Speicher</v>
      </c>
      <c r="B133" s="132">
        <v>3937.1</v>
      </c>
      <c r="C133" s="133">
        <v>-0.38900000000000001</v>
      </c>
      <c r="D133" s="114"/>
      <c r="E133" s="134"/>
      <c r="F133" s="134"/>
      <c r="G133" s="114"/>
      <c r="H133" s="135">
        <f>AVERAGE(0.961,0.99,0.99,0.958,0.998,0.989,0.987,0.962,0.936,0.969,1.022,1.035,1.088,1.052,1.018,1.012,1.004,1.052,1.013,1.018,1.04,1.086,1.064,1.017,1.039,1.03,1.009,1.001,1.049,1.048,1.088,1.008,1.044,1.03,1.015,1.039,1.041,1.092,1.073,1.166,1.117,1.127,1.108,1.102)</f>
        <v>1.0337954545454544</v>
      </c>
      <c r="I133" s="35"/>
      <c r="J133" s="198"/>
      <c r="K133" s="198"/>
      <c r="L133" s="198"/>
      <c r="M133" s="198"/>
      <c r="N133" s="198"/>
      <c r="O133" s="198"/>
      <c r="P133" s="198"/>
      <c r="Q133" s="198"/>
      <c r="R133" s="198"/>
      <c r="S133" s="198"/>
      <c r="T133" s="198"/>
    </row>
    <row r="134" spans="1:20" ht="15" customHeight="1" x14ac:dyDescent="0.25">
      <c r="A134" s="20" t="str">
        <f>Eingabe!F89</f>
        <v>Stromspeicher PV-Anlage</v>
      </c>
      <c r="B134" s="132">
        <v>1749.1</v>
      </c>
      <c r="C134" s="136">
        <v>-0.41799999999999998</v>
      </c>
      <c r="D134" s="111"/>
      <c r="E134" s="137"/>
      <c r="F134" s="137"/>
      <c r="G134" s="112"/>
      <c r="H134" s="112"/>
      <c r="I134" s="99"/>
      <c r="J134" s="198"/>
      <c r="K134" s="198"/>
      <c r="L134" s="198"/>
      <c r="M134" s="198"/>
      <c r="N134" s="198"/>
      <c r="O134" s="198"/>
      <c r="P134" s="198"/>
      <c r="Q134" s="198"/>
      <c r="R134" s="198"/>
      <c r="S134" s="198"/>
      <c r="T134" s="198"/>
    </row>
    <row r="135" spans="1:20" ht="15" customHeight="1" x14ac:dyDescent="0.25"/>
    <row r="136" spans="1:20" ht="15" customHeight="1" x14ac:dyDescent="0.25">
      <c r="A136" s="9" t="s">
        <v>167</v>
      </c>
      <c r="B136" s="201" t="s">
        <v>222</v>
      </c>
      <c r="C136" s="201"/>
    </row>
    <row r="137" spans="1:20" ht="15" customHeight="1" x14ac:dyDescent="0.25">
      <c r="A137" s="20" t="str">
        <f>Eingabe!F93</f>
        <v>Maßnahmen in der Heizungsperipherie</v>
      </c>
      <c r="B137" s="20" t="s">
        <v>66</v>
      </c>
      <c r="C137" s="20" t="s">
        <v>66</v>
      </c>
      <c r="D137" s="20">
        <v>673.94</v>
      </c>
      <c r="E137" s="20">
        <v>-0.53300000000000003</v>
      </c>
      <c r="F137" s="20">
        <v>221.73</v>
      </c>
      <c r="G137" s="20">
        <v>-0.53300000000000003</v>
      </c>
      <c r="H137" s="109">
        <v>2048.44</v>
      </c>
      <c r="I137" s="20">
        <v>-0.53300000000000003</v>
      </c>
    </row>
    <row r="138" spans="1:20" ht="15" customHeight="1" x14ac:dyDescent="0.25">
      <c r="A138" s="20" t="str">
        <f>Eingabe!F95</f>
        <v>Hausanschluss Gas</v>
      </c>
      <c r="B138" s="20" t="s">
        <v>66</v>
      </c>
      <c r="C138" s="20" t="s">
        <v>66</v>
      </c>
      <c r="D138" s="20">
        <v>163.09</v>
      </c>
      <c r="E138" s="20">
        <v>-0.49</v>
      </c>
      <c r="F138" s="20">
        <v>39.92</v>
      </c>
      <c r="G138" s="20">
        <v>-0.49</v>
      </c>
      <c r="H138" s="20">
        <v>666.33</v>
      </c>
      <c r="I138" s="20">
        <v>-0.49</v>
      </c>
    </row>
    <row r="139" spans="1:20" ht="15" customHeight="1" x14ac:dyDescent="0.25">
      <c r="A139" s="20" t="str">
        <f>Eingabe!F96</f>
        <v>Hausanschluss Fernwärme</v>
      </c>
      <c r="B139" s="20" t="s">
        <v>66</v>
      </c>
      <c r="C139" s="20" t="s">
        <v>66</v>
      </c>
      <c r="D139" s="20">
        <v>558.74</v>
      </c>
      <c r="E139" s="20">
        <v>-0.61399999999999999</v>
      </c>
      <c r="F139" s="20">
        <v>242.71</v>
      </c>
      <c r="G139" s="20">
        <v>-0.61399999999999999</v>
      </c>
      <c r="H139" s="109">
        <v>1286.28</v>
      </c>
      <c r="I139" s="20">
        <v>-0.61399999999999999</v>
      </c>
    </row>
    <row r="140" spans="1:20" ht="15" customHeight="1" x14ac:dyDescent="0.25">
      <c r="A140" s="20"/>
      <c r="B140" s="20"/>
      <c r="C140" s="20"/>
      <c r="D140" s="20"/>
      <c r="E140" s="20"/>
      <c r="F140" s="20"/>
      <c r="G140" s="20"/>
      <c r="H140" s="109"/>
      <c r="I140" s="20"/>
    </row>
    <row r="141" spans="1:20" ht="15" customHeight="1" x14ac:dyDescent="0.25">
      <c r="A141" s="20"/>
      <c r="B141" s="20"/>
      <c r="C141" s="20"/>
      <c r="D141" s="20"/>
      <c r="E141" s="20"/>
      <c r="F141" s="20"/>
      <c r="G141" s="20"/>
      <c r="H141" s="109"/>
      <c r="I141" s="20"/>
      <c r="K141" s="10" t="s">
        <v>277</v>
      </c>
      <c r="N141" s="10" t="s">
        <v>278</v>
      </c>
    </row>
    <row r="142" spans="1:20" ht="15" customHeight="1" x14ac:dyDescent="0.25">
      <c r="A142" s="10" t="s">
        <v>279</v>
      </c>
      <c r="B142" s="202" t="s">
        <v>280</v>
      </c>
      <c r="C142" s="202"/>
      <c r="H142" s="106"/>
      <c r="I142" s="107"/>
      <c r="K142" s="10" t="s">
        <v>281</v>
      </c>
      <c r="L142" s="10" t="s">
        <v>282</v>
      </c>
      <c r="M142" s="10" t="s">
        <v>283</v>
      </c>
    </row>
    <row r="143" spans="1:20" ht="15" customHeight="1" x14ac:dyDescent="0.25">
      <c r="A143" s="20" t="str">
        <f>Eingabe!F100</f>
        <v>Lüftungsanlage mit WRG, zentral</v>
      </c>
      <c r="B143" s="20" t="s">
        <v>66</v>
      </c>
      <c r="C143" s="20" t="s">
        <v>66</v>
      </c>
      <c r="D143" s="109">
        <v>382.81</v>
      </c>
      <c r="E143" s="20">
        <v>-0.36399999999999999</v>
      </c>
      <c r="F143" s="20">
        <v>192.54</v>
      </c>
      <c r="G143" s="20">
        <v>-0.36399999999999999</v>
      </c>
      <c r="H143" s="20">
        <v>761.13</v>
      </c>
      <c r="I143" s="20">
        <v>-0.36399999999999999</v>
      </c>
      <c r="K143" s="10">
        <v>5000</v>
      </c>
      <c r="L143" s="10">
        <v>2500</v>
      </c>
      <c r="M143" s="10">
        <v>1000</v>
      </c>
    </row>
    <row r="144" spans="1:20" ht="15" customHeight="1" x14ac:dyDescent="0.25">
      <c r="A144" s="20" t="str">
        <f>Eingabe!F101</f>
        <v>Lüftungsanlage mit WRG, dezentral</v>
      </c>
      <c r="B144" s="20" t="s">
        <v>66</v>
      </c>
      <c r="C144" s="20" t="s">
        <v>66</v>
      </c>
      <c r="D144" s="20">
        <v>837</v>
      </c>
      <c r="E144" s="20">
        <v>-0.65200000000000002</v>
      </c>
      <c r="F144" s="20">
        <v>109.84</v>
      </c>
      <c r="G144" s="20">
        <v>-0.58399999999999996</v>
      </c>
      <c r="H144" s="109">
        <v>3264.12</v>
      </c>
      <c r="I144" s="20">
        <v>-0.58399999999999996</v>
      </c>
      <c r="K144" s="10">
        <v>1400</v>
      </c>
      <c r="L144" s="10">
        <v>200</v>
      </c>
      <c r="Q144" s="10" t="s">
        <v>284</v>
      </c>
      <c r="R144" s="20">
        <v>598.76</v>
      </c>
      <c r="S144" s="20">
        <v>-0.58399999999999996</v>
      </c>
    </row>
    <row r="145" spans="1:20" ht="15" customHeight="1" x14ac:dyDescent="0.25">
      <c r="A145" s="20" t="str">
        <f>Eingabe!F102</f>
        <v>Abluftanlage, zentral</v>
      </c>
      <c r="B145" s="20" t="s">
        <v>66</v>
      </c>
      <c r="C145" s="20" t="s">
        <v>66</v>
      </c>
      <c r="D145" s="20">
        <v>1068.2</v>
      </c>
      <c r="E145" s="20">
        <v>-0.78</v>
      </c>
      <c r="F145" s="20">
        <v>179.31</v>
      </c>
      <c r="G145" s="20">
        <v>-0.78</v>
      </c>
      <c r="H145" s="109">
        <v>6363.78</v>
      </c>
      <c r="I145" s="20">
        <v>-0.78</v>
      </c>
      <c r="K145" s="10">
        <v>600</v>
      </c>
      <c r="L145" s="10">
        <v>700</v>
      </c>
    </row>
    <row r="146" spans="1:20" ht="15" customHeight="1" x14ac:dyDescent="0.25">
      <c r="A146" s="20" t="str">
        <f>Eingabe!F103</f>
        <v>Zu-/ Abluftanlage mit Wärmepumpe</v>
      </c>
      <c r="B146" s="20"/>
      <c r="C146" s="20"/>
      <c r="D146" s="20"/>
      <c r="E146" s="20"/>
      <c r="F146" s="20"/>
      <c r="G146" s="20"/>
      <c r="H146" s="109"/>
      <c r="I146" s="20"/>
      <c r="K146" s="10">
        <v>8000</v>
      </c>
      <c r="L146" s="10">
        <v>2500</v>
      </c>
      <c r="M146" s="10">
        <v>1000</v>
      </c>
    </row>
    <row r="147" spans="1:20" ht="15" customHeight="1" x14ac:dyDescent="0.25">
      <c r="A147" s="20"/>
      <c r="B147" s="203" t="s">
        <v>285</v>
      </c>
      <c r="C147" s="203"/>
      <c r="D147" s="203"/>
      <c r="E147" s="203"/>
      <c r="F147" s="203"/>
      <c r="G147" s="203"/>
      <c r="H147" s="203"/>
      <c r="I147" s="203"/>
    </row>
    <row r="148" spans="1:20" ht="15" customHeight="1" x14ac:dyDescent="0.25">
      <c r="A148" s="20" t="s">
        <v>286</v>
      </c>
      <c r="B148" s="20"/>
      <c r="C148" s="20"/>
      <c r="D148" s="20">
        <v>500</v>
      </c>
      <c r="E148" s="20">
        <v>90</v>
      </c>
      <c r="F148" s="20"/>
      <c r="G148" s="20"/>
      <c r="H148" s="109"/>
      <c r="I148" s="20"/>
      <c r="J148" s="10" t="s">
        <v>271</v>
      </c>
    </row>
    <row r="149" spans="1:20" ht="15" customHeight="1" x14ac:dyDescent="0.25">
      <c r="A149" s="20" t="s">
        <v>287</v>
      </c>
      <c r="B149" s="20">
        <v>8.8000000000000007</v>
      </c>
      <c r="C149" s="20">
        <v>-0.14119999999999999</v>
      </c>
      <c r="D149" s="20"/>
      <c r="E149" s="20"/>
      <c r="F149" s="20"/>
      <c r="G149" s="20"/>
      <c r="H149" s="109"/>
      <c r="I149" s="20" t="s">
        <v>288</v>
      </c>
      <c r="J149" s="10" t="s">
        <v>289</v>
      </c>
      <c r="L149" s="10" t="s">
        <v>290</v>
      </c>
    </row>
    <row r="150" spans="1:20" ht="15" customHeight="1" x14ac:dyDescent="0.25">
      <c r="A150" s="20"/>
      <c r="B150" s="20"/>
      <c r="C150" s="20"/>
      <c r="D150" s="20" t="s">
        <v>291</v>
      </c>
      <c r="E150" s="20"/>
      <c r="F150" s="20"/>
      <c r="G150" s="20"/>
      <c r="H150" s="109"/>
      <c r="I150" s="20"/>
    </row>
    <row r="151" spans="1:20" ht="15" customHeight="1" x14ac:dyDescent="0.25">
      <c r="A151" s="20" t="s">
        <v>169</v>
      </c>
      <c r="B151" s="20">
        <v>65</v>
      </c>
      <c r="C151" s="20"/>
      <c r="D151" s="138">
        <f>(111.13/105.4)*100</f>
        <v>105.43643263757114</v>
      </c>
      <c r="E151" s="20"/>
      <c r="F151" s="20"/>
      <c r="G151" s="20"/>
      <c r="H151" s="109"/>
      <c r="I151" s="20"/>
      <c r="J151" s="10" t="s">
        <v>292</v>
      </c>
    </row>
    <row r="152" spans="1:20" ht="15" customHeight="1" x14ac:dyDescent="0.25">
      <c r="A152" s="139" t="s">
        <v>293</v>
      </c>
      <c r="B152" s="20">
        <v>822</v>
      </c>
      <c r="C152" s="20"/>
      <c r="D152" s="140">
        <f>(126.9+126.4+126+125)/4/160.8</f>
        <v>0.78404850746268651</v>
      </c>
      <c r="E152" s="20"/>
      <c r="F152" s="20"/>
      <c r="G152" s="20"/>
      <c r="H152" s="20"/>
      <c r="I152" s="20"/>
      <c r="J152" s="10" t="s">
        <v>294</v>
      </c>
    </row>
    <row r="153" spans="1:20" ht="15" customHeight="1" x14ac:dyDescent="0.25">
      <c r="A153" s="20"/>
      <c r="B153" s="20"/>
      <c r="C153" s="20"/>
      <c r="D153" s="20"/>
      <c r="E153" s="20"/>
      <c r="F153" s="20"/>
      <c r="G153" s="20"/>
      <c r="H153" s="109"/>
      <c r="I153" s="20"/>
    </row>
    <row r="154" spans="1:20" ht="15" customHeight="1" x14ac:dyDescent="0.25">
      <c r="B154" s="201" t="s">
        <v>222</v>
      </c>
      <c r="C154" s="201"/>
      <c r="H154" s="106"/>
      <c r="I154" s="107"/>
    </row>
    <row r="155" spans="1:20" ht="15" customHeight="1" x14ac:dyDescent="0.25">
      <c r="A155" s="20" t="str">
        <f>Eingabe!F107</f>
        <v>Gerüste</v>
      </c>
      <c r="B155" s="20" t="s">
        <v>66</v>
      </c>
      <c r="C155" s="20" t="s">
        <v>66</v>
      </c>
      <c r="D155" s="20">
        <v>75.64</v>
      </c>
      <c r="E155" s="20">
        <v>-0.32</v>
      </c>
      <c r="F155" s="20">
        <v>53.35</v>
      </c>
      <c r="G155" s="20">
        <v>-0.32</v>
      </c>
      <c r="H155" s="20">
        <v>107.25</v>
      </c>
      <c r="I155" s="20">
        <v>-0.32</v>
      </c>
    </row>
    <row r="156" spans="1:20" ht="15" customHeight="1" x14ac:dyDescent="0.25">
      <c r="A156" s="20"/>
      <c r="B156" s="20"/>
      <c r="C156" s="20"/>
      <c r="D156" s="20"/>
      <c r="E156" s="20"/>
      <c r="F156" s="20"/>
      <c r="G156" s="20"/>
      <c r="H156" s="20"/>
      <c r="I156" s="20"/>
    </row>
    <row r="157" spans="1:20" ht="15" customHeight="1" x14ac:dyDescent="0.25">
      <c r="A157" s="204" t="s">
        <v>185</v>
      </c>
      <c r="B157" s="201" t="s">
        <v>295</v>
      </c>
      <c r="C157" s="201"/>
      <c r="I157" s="107"/>
      <c r="J157" s="198" t="s">
        <v>296</v>
      </c>
      <c r="K157" s="198"/>
      <c r="L157" s="198"/>
      <c r="M157" s="198"/>
      <c r="N157" s="198"/>
      <c r="O157" s="198"/>
      <c r="P157" s="198"/>
      <c r="Q157" s="198"/>
      <c r="R157" s="198"/>
      <c r="S157" s="198"/>
      <c r="T157" s="198"/>
    </row>
    <row r="158" spans="1:20" ht="15" customHeight="1" x14ac:dyDescent="0.25">
      <c r="A158" s="204"/>
      <c r="B158" s="199">
        <v>1300</v>
      </c>
      <c r="C158" s="199"/>
      <c r="D158" s="10" t="s">
        <v>297</v>
      </c>
      <c r="I158" s="107"/>
      <c r="J158" s="198"/>
      <c r="K158" s="198"/>
      <c r="L158" s="198"/>
      <c r="M158" s="198"/>
      <c r="N158" s="198"/>
      <c r="O158" s="198"/>
      <c r="P158" s="198"/>
      <c r="Q158" s="198"/>
      <c r="R158" s="198"/>
      <c r="S158" s="198"/>
      <c r="T158" s="198"/>
    </row>
    <row r="159" spans="1:20" ht="15" customHeight="1" x14ac:dyDescent="0.25">
      <c r="A159" s="204"/>
      <c r="B159" s="199">
        <v>1800</v>
      </c>
      <c r="C159" s="199"/>
      <c r="D159" s="10" t="s">
        <v>298</v>
      </c>
      <c r="I159" s="107"/>
      <c r="J159" s="198"/>
      <c r="K159" s="198"/>
      <c r="L159" s="198"/>
      <c r="M159" s="198"/>
      <c r="N159" s="198"/>
      <c r="O159" s="198"/>
      <c r="P159" s="198"/>
      <c r="Q159" s="198"/>
      <c r="R159" s="198"/>
      <c r="S159" s="198"/>
      <c r="T159" s="198"/>
    </row>
    <row r="160" spans="1:20" ht="15" customHeight="1" x14ac:dyDescent="0.25">
      <c r="A160" s="204"/>
      <c r="B160" s="199">
        <v>400</v>
      </c>
      <c r="C160" s="199"/>
      <c r="D160" s="10" t="s">
        <v>299</v>
      </c>
      <c r="I160" s="107"/>
      <c r="J160" s="198"/>
      <c r="K160" s="198"/>
      <c r="L160" s="198"/>
      <c r="M160" s="198"/>
      <c r="N160" s="198"/>
      <c r="O160" s="198"/>
      <c r="P160" s="198"/>
      <c r="Q160" s="198"/>
      <c r="R160" s="198"/>
      <c r="S160" s="198"/>
      <c r="T160" s="198"/>
    </row>
    <row r="161" spans="1:9" ht="15" customHeight="1" x14ac:dyDescent="0.25">
      <c r="A161" s="141"/>
      <c r="B161" s="200" t="s">
        <v>222</v>
      </c>
      <c r="C161" s="200"/>
      <c r="D161" s="114"/>
      <c r="E161" s="114"/>
      <c r="F161" s="114"/>
      <c r="G161" s="114"/>
      <c r="H161" s="114"/>
      <c r="I161" s="35"/>
    </row>
    <row r="162" spans="1:9" ht="15" customHeight="1" x14ac:dyDescent="0.25">
      <c r="A162" s="141" t="s">
        <v>190</v>
      </c>
      <c r="B162" s="20" t="s">
        <v>66</v>
      </c>
      <c r="C162" s="20" t="s">
        <v>66</v>
      </c>
      <c r="D162" s="20">
        <v>733.23</v>
      </c>
      <c r="E162" s="20">
        <v>-0.59899999999999998</v>
      </c>
      <c r="F162" s="20">
        <v>404.38</v>
      </c>
      <c r="G162" s="20">
        <v>-0.59899999999999998</v>
      </c>
      <c r="H162" s="109">
        <v>1329.49</v>
      </c>
      <c r="I162" s="20">
        <v>-0.59899999999999998</v>
      </c>
    </row>
    <row r="163" spans="1:9" ht="15" customHeight="1" x14ac:dyDescent="0.25"/>
    <row r="164" spans="1:9" ht="15" customHeight="1" x14ac:dyDescent="0.25"/>
    <row r="165" spans="1:9" ht="15" customHeight="1" x14ac:dyDescent="0.25"/>
    <row r="166" spans="1:9" ht="15" customHeight="1" x14ac:dyDescent="0.25"/>
    <row r="167" spans="1:9" ht="15" customHeight="1" x14ac:dyDescent="0.25"/>
    <row r="168" spans="1:9" ht="15" customHeight="1" x14ac:dyDescent="0.25"/>
    <row r="169" spans="1:9" ht="15" customHeight="1" x14ac:dyDescent="0.25">
      <c r="A169" s="10" t="s">
        <v>300</v>
      </c>
      <c r="C169" s="10" t="s">
        <v>354</v>
      </c>
    </row>
    <row r="170" spans="1:9" ht="15" customHeight="1" x14ac:dyDescent="0.25">
      <c r="A170" s="10" t="s">
        <v>28</v>
      </c>
      <c r="C170" s="10" t="s">
        <v>355</v>
      </c>
    </row>
    <row r="171" spans="1:9" ht="15" customHeight="1" x14ac:dyDescent="0.25">
      <c r="A171" s="10" t="s">
        <v>301</v>
      </c>
      <c r="C171" s="10" t="s">
        <v>325</v>
      </c>
    </row>
    <row r="172" spans="1:9" ht="15" customHeight="1" x14ac:dyDescent="0.25">
      <c r="A172" s="10" t="s">
        <v>302</v>
      </c>
      <c r="C172" s="10" t="s">
        <v>327</v>
      </c>
    </row>
    <row r="173" spans="1:9" ht="15" customHeight="1" x14ac:dyDescent="0.25">
      <c r="A173" s="10" t="s">
        <v>303</v>
      </c>
      <c r="C173" s="10" t="s">
        <v>332</v>
      </c>
    </row>
    <row r="174" spans="1:9" ht="15" customHeight="1" x14ac:dyDescent="0.25">
      <c r="A174" s="10" t="s">
        <v>120</v>
      </c>
      <c r="C174" s="10" t="s">
        <v>325</v>
      </c>
    </row>
    <row r="175" spans="1:9" ht="15" customHeight="1" x14ac:dyDescent="0.25">
      <c r="A175" s="10" t="s">
        <v>123</v>
      </c>
    </row>
    <row r="176" spans="1:9" ht="15" customHeight="1" x14ac:dyDescent="0.25">
      <c r="A176" s="10" t="s">
        <v>357</v>
      </c>
    </row>
    <row r="177" spans="1:1" ht="15" customHeight="1" x14ac:dyDescent="0.25">
      <c r="A177" s="10" t="s">
        <v>304</v>
      </c>
    </row>
    <row r="178" spans="1:1" ht="15" customHeight="1" x14ac:dyDescent="0.25">
      <c r="A178" s="10" t="s">
        <v>305</v>
      </c>
    </row>
    <row r="179" spans="1:1" ht="15" customHeight="1" x14ac:dyDescent="0.25">
      <c r="A179" s="10" t="s">
        <v>306</v>
      </c>
    </row>
    <row r="180" spans="1:1" ht="15" customHeight="1" x14ac:dyDescent="0.25">
      <c r="A180" s="10" t="s">
        <v>127</v>
      </c>
    </row>
    <row r="181" spans="1:1" ht="15" customHeight="1" x14ac:dyDescent="0.25">
      <c r="A181" s="10" t="s">
        <v>130</v>
      </c>
    </row>
    <row r="182" spans="1:1" ht="15" customHeight="1" x14ac:dyDescent="0.25">
      <c r="A182" s="10" t="s">
        <v>132</v>
      </c>
    </row>
    <row r="183" spans="1:1" ht="15" customHeight="1" x14ac:dyDescent="0.25">
      <c r="A183" s="10" t="s">
        <v>134</v>
      </c>
    </row>
    <row r="184" spans="1:1" ht="15" customHeight="1" x14ac:dyDescent="0.25">
      <c r="A184" s="10" t="s">
        <v>136</v>
      </c>
    </row>
    <row r="185" spans="1:1" ht="15" customHeight="1" x14ac:dyDescent="0.25">
      <c r="A185" s="10" t="s">
        <v>143</v>
      </c>
    </row>
    <row r="186" spans="1:1" ht="15" customHeight="1" x14ac:dyDescent="0.25">
      <c r="A186" s="10" t="s">
        <v>146</v>
      </c>
    </row>
    <row r="187" spans="1:1" ht="15" customHeight="1" x14ac:dyDescent="0.25">
      <c r="A187" s="10" t="s">
        <v>147</v>
      </c>
    </row>
    <row r="188" spans="1:1" ht="15" customHeight="1" x14ac:dyDescent="0.25">
      <c r="A188" s="10" t="s">
        <v>152</v>
      </c>
    </row>
    <row r="189" spans="1:1" ht="15" customHeight="1" x14ac:dyDescent="0.25">
      <c r="A189" s="10" t="s">
        <v>155</v>
      </c>
    </row>
    <row r="190" spans="1:1" ht="15" customHeight="1" x14ac:dyDescent="0.25">
      <c r="A190" s="10" t="s">
        <v>156</v>
      </c>
    </row>
    <row r="191" spans="1:1" ht="15" customHeight="1" x14ac:dyDescent="0.25"/>
    <row r="192" spans="1:1"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sheetData>
  <sheetProtection algorithmName="SHA-512" hashValue="8gjvxcEJW88100PpS8YBmOUQa/A4NhzmFQ2aDD+NmHeZss7iIJUq7iu2XdhGal9+9ZZo+7Sy5TL4jDag6TxfmQ==" saltValue="vHhT/2RxnsGxHj01SmjP5Q==" spinCount="100000" sheet="1" objects="1" scenarios="1"/>
  <mergeCells count="60">
    <mergeCell ref="A63:A67"/>
    <mergeCell ref="D63:E63"/>
    <mergeCell ref="D64:E64"/>
    <mergeCell ref="D65:E65"/>
    <mergeCell ref="D66:E66"/>
    <mergeCell ref="D67:E67"/>
    <mergeCell ref="A1:T1"/>
    <mergeCell ref="B4:C4"/>
    <mergeCell ref="D4:E4"/>
    <mergeCell ref="F4:G4"/>
    <mergeCell ref="H4:I4"/>
    <mergeCell ref="B7:C7"/>
    <mergeCell ref="D7:E7"/>
    <mergeCell ref="F7:G7"/>
    <mergeCell ref="H7:I7"/>
    <mergeCell ref="B9:C9"/>
    <mergeCell ref="B47:C47"/>
    <mergeCell ref="J57:T60"/>
    <mergeCell ref="B57:C57"/>
    <mergeCell ref="E57:F57"/>
    <mergeCell ref="B14:C14"/>
    <mergeCell ref="B18:C18"/>
    <mergeCell ref="J22:N22"/>
    <mergeCell ref="B24:C24"/>
    <mergeCell ref="J31:U31"/>
    <mergeCell ref="B62:C62"/>
    <mergeCell ref="J62:T71"/>
    <mergeCell ref="B73:C73"/>
    <mergeCell ref="B76:C76"/>
    <mergeCell ref="B78:C78"/>
    <mergeCell ref="H63:I63"/>
    <mergeCell ref="H64:I64"/>
    <mergeCell ref="H65:I65"/>
    <mergeCell ref="H66:I66"/>
    <mergeCell ref="H67:I67"/>
    <mergeCell ref="J80:T113"/>
    <mergeCell ref="B101:C102"/>
    <mergeCell ref="D101:E102"/>
    <mergeCell ref="F101:G102"/>
    <mergeCell ref="B116:C116"/>
    <mergeCell ref="J116:T123"/>
    <mergeCell ref="B119:C119"/>
    <mergeCell ref="B121:D121"/>
    <mergeCell ref="B124:C124"/>
    <mergeCell ref="J124:T125"/>
    <mergeCell ref="B125:C125"/>
    <mergeCell ref="B128:C128"/>
    <mergeCell ref="J128:T134"/>
    <mergeCell ref="B130:C130"/>
    <mergeCell ref="B136:C136"/>
    <mergeCell ref="B142:C142"/>
    <mergeCell ref="B147:I147"/>
    <mergeCell ref="B154:C154"/>
    <mergeCell ref="A157:A160"/>
    <mergeCell ref="B157:C157"/>
    <mergeCell ref="J157:T160"/>
    <mergeCell ref="B158:C158"/>
    <mergeCell ref="B159:C159"/>
    <mergeCell ref="B160:C160"/>
    <mergeCell ref="B161:C161"/>
  </mergeCells>
  <hyperlinks>
    <hyperlink ref="J80" r:id="rId1" xr:uid="{00000000-0004-0000-0200-000000000000}"/>
    <hyperlink ref="N141" r:id="rId2" xr:uid="{00000000-0004-0000-0200-000001000000}"/>
  </hyperlinks>
  <pageMargins left="0.7" right="0.7" top="0.78749999999999998" bottom="0.78749999999999998" header="0.511811023622047" footer="0.511811023622047"/>
  <pageSetup paperSize="9" orientation="portrait" horizontalDpi="300" verticalDpi="300"/>
  <drawing r:id="rId3"/>
  <legacyDrawing r:id="rId4"/>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Hinweise</vt:lpstr>
      <vt:lpstr>Eingabe</vt:lpstr>
      <vt:lpstr>Daten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Klaus Lambrecht</dc:creator>
  <dc:description/>
  <cp:lastModifiedBy>Aron Oehler</cp:lastModifiedBy>
  <cp:revision>98</cp:revision>
  <dcterms:created xsi:type="dcterms:W3CDTF">2016-01-18T11:06:58Z</dcterms:created>
  <dcterms:modified xsi:type="dcterms:W3CDTF">2026-04-19T16:22:33Z</dcterms:modified>
  <dc:language>de-DE</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false</vt:bool>
  </property>
  <property fmtid="{D5CDD505-2E9C-101B-9397-08002B2CF9AE}" pid="3" name="LinksUpToDate">
    <vt:bool>false</vt:bool>
  </property>
  <property fmtid="{D5CDD505-2E9C-101B-9397-08002B2CF9AE}" pid="4" name="ScaleCrop">
    <vt:bool>false</vt:bool>
  </property>
  <property fmtid="{D5CDD505-2E9C-101B-9397-08002B2CF9AE}" pid="5" name="ShareDoc">
    <vt:bool>false</vt:bool>
  </property>
</Properties>
</file>